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en_skoroszyt"/>
  <mc:AlternateContent xmlns:mc="http://schemas.openxmlformats.org/markup-compatibility/2006">
    <mc:Choice Requires="x15">
      <x15ac:absPath xmlns:x15ac="http://schemas.microsoft.com/office/spreadsheetml/2010/11/ac" url="C:\Users\jrosl\Desktop\DO ZGRANIA - praca zdalna\Koszty i efektywność\wykład\"/>
    </mc:Choice>
  </mc:AlternateContent>
  <xr:revisionPtr revIDLastSave="0" documentId="13_ncr:1_{8B72B52D-A990-4A9B-944D-C8F6B4751C5F}" xr6:coauthVersionLast="47" xr6:coauthVersionMax="47" xr10:uidLastSave="{00000000-0000-0000-0000-000000000000}"/>
  <bookViews>
    <workbookView xWindow="-108" yWindow="-108" windowWidth="23256" windowHeight="12456" xr2:uid="{00000000-000D-0000-FFFF-FFFF00000000}"/>
  </bookViews>
  <sheets>
    <sheet name="Budynek" sheetId="3" r:id="rId1"/>
    <sheet name="Zmienne decyzyjne" sheetId="6" r:id="rId2"/>
    <sheet name="Zależności wskaźników" sheetId="4" r:id="rId3"/>
    <sheet name="Osiąganie zdolności użytkowej" sheetId="8" r:id="rId4"/>
    <sheet name="Regresja " sheetId="7" r:id="rId5"/>
    <sheet name="Finansowanie" sheetId="2" r:id="rId6"/>
    <sheet name="Przepływy i NPV" sheetId="1" r:id="rId7"/>
    <sheet name="Solver" sheetId="9" r:id="rId8"/>
    <sheet name="CB_DATA_" sheetId="5" state="veryHidden" r:id="rId9"/>
  </sheets>
  <definedNames>
    <definedName name="CB_42cf22b895e444b5b5e9c29cf8276efd" localSheetId="8" hidden="1">#N/A</definedName>
    <definedName name="CB_48614e5c45d44c1e9e0e0740f6c88eb9" localSheetId="6" hidden="1">'Przepływy i NPV'!$F$34</definedName>
    <definedName name="CB_5932a4eeaab745e79a39813364ea1452" localSheetId="2" hidden="1">'Zależności wskaźników'!$L$3</definedName>
    <definedName name="CB_5c8291ac63d947db9d59ccccf663e2ee" localSheetId="6" hidden="1">'Przepływy i NPV'!$F$30</definedName>
    <definedName name="CB_9cda7909083e4396b7cad2c0902b0674" localSheetId="5" hidden="1">Finansowanie!$E$3</definedName>
    <definedName name="CB_Block_00000000000000000000000000000000" localSheetId="8" hidden="1">"'7.0.0.0"</definedName>
    <definedName name="CB_Block_00000000000000000000000000000000" localSheetId="5" hidden="1">"'7.0.0.0"</definedName>
    <definedName name="CB_Block_00000000000000000000000000000000" localSheetId="6" hidden="1">"'7.0.0.0"</definedName>
    <definedName name="CB_Block_00000000000000000000000000000000" localSheetId="2" hidden="1">"'7.0.0.0"</definedName>
    <definedName name="CB_Block_00000000000000000000000000000001" localSheetId="8" hidden="1">"'637473877890159536"</definedName>
    <definedName name="CB_Block_00000000000000000000000000000001" localSheetId="5" hidden="1">"'637473877890315779"</definedName>
    <definedName name="CB_Block_00000000000000000000000000000001" localSheetId="6" hidden="1">"'637473877890628296"</definedName>
    <definedName name="CB_Block_00000000000000000000000000000001" localSheetId="2" hidden="1">"'637473877890628296"</definedName>
    <definedName name="CB_Block_00000000000000000000000000000003" localSheetId="8" hidden="1">"'11.1.2926.0"</definedName>
    <definedName name="CB_Block_00000000000000000000000000000003" localSheetId="5" hidden="1">"'11.1.2926.0"</definedName>
    <definedName name="CB_Block_00000000000000000000000000000003" localSheetId="6" hidden="1">"'11.1.2926.0"</definedName>
    <definedName name="CB_Block_00000000000000000000000000000003" localSheetId="2" hidden="1">"'11.1.2926.0"</definedName>
    <definedName name="CB_BlockExt_00000000000000000000000000000003" localSheetId="8" hidden="1">"'11.1.2.2.000"</definedName>
    <definedName name="CB_BlockExt_00000000000000000000000000000003" localSheetId="5" hidden="1">"'11.1.2.2.000"</definedName>
    <definedName name="CB_BlockExt_00000000000000000000000000000003" localSheetId="6" hidden="1">"'11.1.2.2.000"</definedName>
    <definedName name="CB_BlockExt_00000000000000000000000000000003" localSheetId="2" hidden="1">"'11.1.2.2.000"</definedName>
    <definedName name="CBCR_8ac8f8983eda4281b738ce9dd13c682b" localSheetId="8" hidden="1">CB_DATA_!$A$10001</definedName>
    <definedName name="CBCR_ac0a101bb9f940ed991218fea69d496b" localSheetId="2" hidden="1">'Zależności wskaźników'!$M$3</definedName>
    <definedName name="CBCR_b4732d32d7934429bc34adf376909072" localSheetId="2" hidden="1">'Zależności wskaźników'!$S$3</definedName>
    <definedName name="CBWorkbookPriority" localSheetId="8" hidden="1">-1221777304</definedName>
    <definedName name="CBx_1ae138d95d7b407eabb19a80649cdc67" localSheetId="8" hidden="1">"'CB_DATA_'!$A$1"</definedName>
    <definedName name="CBx_258201f8e81b4b47a8f2c384b3adf398" localSheetId="8" hidden="1">"'Finansowanie'!$A$1"</definedName>
    <definedName name="CBx_c87d798acd7a4d3cb5957b014453c600" localSheetId="8" hidden="1">"'Zależności wskaźników'!$A$1"</definedName>
    <definedName name="CBx_e2ac9a74d9e54c90ad7d49a199e4a6a1" localSheetId="8" hidden="1">"'Przepływy i NPV'!$A$1"</definedName>
    <definedName name="CBx_Sheet_Guid" localSheetId="8" hidden="1">"'1ae138d9-5d7b-407e-abb1-9a80649cdc67"</definedName>
    <definedName name="CBx_Sheet_Guid" localSheetId="5" hidden="1">"'258201f8-e81b-4b47-a8f2-c384b3adf398"</definedName>
    <definedName name="CBx_Sheet_Guid" localSheetId="6" hidden="1">"'e2ac9a74-d9e5-4c90-ad7d-49a199e4a6a1"</definedName>
    <definedName name="CBx_Sheet_Guid" localSheetId="2" hidden="1">"'c87d798a-cd7a-4d3c-b595-7b014453c600"</definedName>
    <definedName name="CBx_SheetRef" localSheetId="8" hidden="1">CB_DATA_!$A$14</definedName>
    <definedName name="CBx_SheetRef" localSheetId="5" hidden="1">CB_DATA_!$D$14</definedName>
    <definedName name="CBx_SheetRef" localSheetId="6" hidden="1">CB_DATA_!$C$14</definedName>
    <definedName name="CBx_SheetRef" localSheetId="2" hidden="1">CB_DATA_!$B$14</definedName>
    <definedName name="CBx_StorageType" localSheetId="8" hidden="1">2</definedName>
    <definedName name="CBx_StorageType" localSheetId="5" hidden="1">2</definedName>
    <definedName name="CBx_StorageType" localSheetId="6" hidden="1">2</definedName>
    <definedName name="CBx_StorageType" localSheetId="2" hidden="1">2</definedName>
    <definedName name="solver_adj" localSheetId="7" hidden="1">Solver!$G$3:$G$4</definedName>
    <definedName name="solver_cvg" localSheetId="6" hidden="1">0.0001</definedName>
    <definedName name="solver_cvg" localSheetId="7" hidden="1">0.0001</definedName>
    <definedName name="solver_drv" localSheetId="6" hidden="1">2</definedName>
    <definedName name="solver_drv" localSheetId="7" hidden="1">2</definedName>
    <definedName name="solver_eng" localSheetId="5" hidden="1">1</definedName>
    <definedName name="solver_eng" localSheetId="6" hidden="1">1</definedName>
    <definedName name="solver_eng" localSheetId="7" hidden="1">1</definedName>
    <definedName name="solver_est" localSheetId="6" hidden="1">1</definedName>
    <definedName name="solver_est" localSheetId="7" hidden="1">1</definedName>
    <definedName name="solver_itr" localSheetId="6" hidden="1">2147483647</definedName>
    <definedName name="solver_itr" localSheetId="7" hidden="1">2147483647</definedName>
    <definedName name="solver_lhs1" localSheetId="7" hidden="1">Solver!$G$3</definedName>
    <definedName name="solver_lhs2" localSheetId="7" hidden="1">Solver!$G$3</definedName>
    <definedName name="solver_lhs3" localSheetId="7" hidden="1">Solver!$G$4</definedName>
    <definedName name="solver_lhs4" localSheetId="7" hidden="1">Solver!$G$4</definedName>
    <definedName name="solver_mip" localSheetId="6" hidden="1">2147483647</definedName>
    <definedName name="solver_mip" localSheetId="7" hidden="1">2147483647</definedName>
    <definedName name="solver_mni" localSheetId="6" hidden="1">30</definedName>
    <definedName name="solver_mni" localSheetId="7" hidden="1">30</definedName>
    <definedName name="solver_mrt" localSheetId="6" hidden="1">0.075</definedName>
    <definedName name="solver_mrt" localSheetId="7" hidden="1">0.075</definedName>
    <definedName name="solver_msl" localSheetId="6" hidden="1">2</definedName>
    <definedName name="solver_msl" localSheetId="7" hidden="1">2</definedName>
    <definedName name="solver_neg" localSheetId="5" hidden="1">1</definedName>
    <definedName name="solver_neg" localSheetId="6" hidden="1">1</definedName>
    <definedName name="solver_neg" localSheetId="7" hidden="1">1</definedName>
    <definedName name="solver_nod" localSheetId="6" hidden="1">2147483647</definedName>
    <definedName name="solver_nod" localSheetId="7" hidden="1">2147483647</definedName>
    <definedName name="solver_num" localSheetId="5" hidden="1">0</definedName>
    <definedName name="solver_num" localSheetId="6" hidden="1">0</definedName>
    <definedName name="solver_num" localSheetId="7" hidden="1">4</definedName>
    <definedName name="solver_nwt" localSheetId="6" hidden="1">1</definedName>
    <definedName name="solver_nwt" localSheetId="7" hidden="1">1</definedName>
    <definedName name="solver_opt" localSheetId="5" hidden="1">Finansowanie!$N$7</definedName>
    <definedName name="solver_opt" localSheetId="6" hidden="1">'Przepływy i NPV'!$F$30</definedName>
    <definedName name="solver_opt" localSheetId="7" hidden="1">Solver!$G$5</definedName>
    <definedName name="solver_pre" localSheetId="6" hidden="1">0.000001</definedName>
    <definedName name="solver_pre" localSheetId="7" hidden="1">0.000001</definedName>
    <definedName name="solver_rbv" localSheetId="6" hidden="1">2</definedName>
    <definedName name="solver_rbv" localSheetId="7" hidden="1">2</definedName>
    <definedName name="solver_rel1" localSheetId="7" hidden="1">1</definedName>
    <definedName name="solver_rel2" localSheetId="7" hidden="1">3</definedName>
    <definedName name="solver_rel3" localSheetId="7" hidden="1">1</definedName>
    <definedName name="solver_rel4" localSheetId="7" hidden="1">3</definedName>
    <definedName name="solver_rhs1" localSheetId="7" hidden="1">Solver!$I$3</definedName>
    <definedName name="solver_rhs2" localSheetId="7" hidden="1">Solver!$H$3</definedName>
    <definedName name="solver_rhs3" localSheetId="7" hidden="1">Solver!$I$4</definedName>
    <definedName name="solver_rhs4" localSheetId="7" hidden="1">Solver!$H$4</definedName>
    <definedName name="solver_rlx" localSheetId="6" hidden="1">2</definedName>
    <definedName name="solver_rlx" localSheetId="7" hidden="1">2</definedName>
    <definedName name="solver_rsd" localSheetId="6" hidden="1">0</definedName>
    <definedName name="solver_rsd" localSheetId="7" hidden="1">0</definedName>
    <definedName name="solver_scl" localSheetId="6" hidden="1">2</definedName>
    <definedName name="solver_scl" localSheetId="7" hidden="1">2</definedName>
    <definedName name="solver_sho" localSheetId="6" hidden="1">2</definedName>
    <definedName name="solver_sho" localSheetId="7" hidden="1">2</definedName>
    <definedName name="solver_ssz" localSheetId="6" hidden="1">100</definedName>
    <definedName name="solver_ssz" localSheetId="7" hidden="1">100</definedName>
    <definedName name="solver_tim" localSheetId="6" hidden="1">2147483647</definedName>
    <definedName name="solver_tim" localSheetId="7" hidden="1">2147483647</definedName>
    <definedName name="solver_tol" localSheetId="6" hidden="1">0.01</definedName>
    <definedName name="solver_tol" localSheetId="7" hidden="1">0.01</definedName>
    <definedName name="solver_typ" localSheetId="5" hidden="1">1</definedName>
    <definedName name="solver_typ" localSheetId="6" hidden="1">1</definedName>
    <definedName name="solver_typ" localSheetId="7" hidden="1">1</definedName>
    <definedName name="solver_val" localSheetId="5" hidden="1">0</definedName>
    <definedName name="solver_val" localSheetId="6" hidden="1">0</definedName>
    <definedName name="solver_val" localSheetId="7" hidden="1">0</definedName>
    <definedName name="solver_ver" localSheetId="5" hidden="1">3</definedName>
    <definedName name="solver_ver" localSheetId="6" hidden="1">3</definedName>
    <definedName name="solver_ver" localSheetId="7"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E3" i="2"/>
  <c r="I3" i="9"/>
  <c r="H3" i="9"/>
  <c r="A10001" i="5" l="1"/>
  <c r="P10" i="8" l="1"/>
  <c r="Q10" i="8" s="1"/>
  <c r="R10" i="8" s="1"/>
  <c r="S10" i="8" s="1"/>
  <c r="T10" i="8" s="1"/>
  <c r="U10" i="8" s="1"/>
  <c r="V10" i="8" s="1"/>
  <c r="W10" i="8" s="1"/>
  <c r="X10" i="8" s="1"/>
  <c r="Y10" i="8" s="1"/>
  <c r="Z10" i="8" s="1"/>
  <c r="AA10" i="8" s="1"/>
  <c r="AB10" i="8" s="1"/>
  <c r="AC10" i="8" s="1"/>
  <c r="AD10" i="8" s="1"/>
  <c r="AE10" i="8" s="1"/>
  <c r="AF10" i="8" s="1"/>
  <c r="AG10" i="8" s="1"/>
  <c r="AH10" i="8" s="1"/>
  <c r="D11" i="5" l="1"/>
  <c r="C11" i="5"/>
  <c r="B11" i="5"/>
  <c r="A11" i="5"/>
  <c r="B47" i="1"/>
  <c r="C37" i="1"/>
  <c r="B37" i="1" s="1"/>
  <c r="B35" i="1"/>
  <c r="AA28" i="1"/>
  <c r="Z28" i="1"/>
  <c r="Y28" i="1"/>
  <c r="X28" i="1"/>
  <c r="W28" i="1"/>
  <c r="V28" i="1"/>
  <c r="U28" i="1"/>
  <c r="T28" i="1"/>
  <c r="S28" i="1"/>
  <c r="R28" i="1"/>
  <c r="Q28" i="1"/>
  <c r="P28" i="1"/>
  <c r="O28" i="1"/>
  <c r="N28" i="1"/>
  <c r="M28" i="1"/>
  <c r="L28" i="1"/>
  <c r="K28" i="1"/>
  <c r="J28" i="1"/>
  <c r="I28" i="1"/>
  <c r="H28" i="1"/>
  <c r="G28" i="1"/>
  <c r="F28" i="1"/>
  <c r="E28" i="1"/>
  <c r="D28" i="1"/>
  <c r="AA25" i="1"/>
  <c r="Z25" i="1"/>
  <c r="Y25" i="1"/>
  <c r="X25" i="1"/>
  <c r="W25" i="1"/>
  <c r="V25" i="1"/>
  <c r="U25" i="1"/>
  <c r="T25" i="1"/>
  <c r="S25" i="1"/>
  <c r="R25" i="1"/>
  <c r="Q25" i="1"/>
  <c r="P25" i="1"/>
  <c r="O25" i="1"/>
  <c r="N25" i="1"/>
  <c r="M25" i="1"/>
  <c r="L25" i="1"/>
  <c r="K25" i="1"/>
  <c r="J25" i="1"/>
  <c r="I25" i="1"/>
  <c r="H25" i="1"/>
  <c r="G25" i="1"/>
  <c r="F25" i="1"/>
  <c r="E25" i="1"/>
  <c r="D25" i="1"/>
  <c r="C25" i="1"/>
  <c r="AA22" i="1"/>
  <c r="Z22" i="1"/>
  <c r="Y22" i="1"/>
  <c r="X22" i="1"/>
  <c r="W22" i="1"/>
  <c r="V22" i="1"/>
  <c r="U22" i="1"/>
  <c r="T22" i="1"/>
  <c r="S22" i="1"/>
  <c r="R22" i="1"/>
  <c r="Q22" i="1"/>
  <c r="P22" i="1"/>
  <c r="O22" i="1"/>
  <c r="N22" i="1"/>
  <c r="M22" i="1"/>
  <c r="L22" i="1"/>
  <c r="K22" i="1"/>
  <c r="J22" i="1"/>
  <c r="I22" i="1"/>
  <c r="H22" i="1"/>
  <c r="G22" i="1"/>
  <c r="F22" i="1"/>
  <c r="E22" i="1"/>
  <c r="D22" i="1"/>
  <c r="AA21" i="1"/>
  <c r="Z21" i="1"/>
  <c r="Y21" i="1"/>
  <c r="X21" i="1"/>
  <c r="W21" i="1"/>
  <c r="V21" i="1"/>
  <c r="U21" i="1"/>
  <c r="T21" i="1"/>
  <c r="S21" i="1"/>
  <c r="R21" i="1"/>
  <c r="Q21" i="1"/>
  <c r="P21" i="1"/>
  <c r="O21" i="1"/>
  <c r="N21" i="1"/>
  <c r="M21" i="1"/>
  <c r="L21" i="1"/>
  <c r="K21" i="1"/>
  <c r="J21" i="1"/>
  <c r="I21" i="1"/>
  <c r="H21" i="1"/>
  <c r="G21" i="1"/>
  <c r="F21" i="1"/>
  <c r="E21" i="1"/>
  <c r="D21" i="1"/>
  <c r="AA20" i="1"/>
  <c r="Z20" i="1"/>
  <c r="Y20" i="1"/>
  <c r="X20" i="1"/>
  <c r="W20" i="1"/>
  <c r="V20" i="1"/>
  <c r="U20" i="1"/>
  <c r="T20" i="1"/>
  <c r="S20" i="1"/>
  <c r="R20" i="1"/>
  <c r="Q20" i="1"/>
  <c r="P20" i="1"/>
  <c r="O20" i="1"/>
  <c r="N20" i="1"/>
  <c r="M20" i="1"/>
  <c r="L20" i="1"/>
  <c r="K20" i="1"/>
  <c r="J20" i="1"/>
  <c r="I20" i="1"/>
  <c r="H20" i="1"/>
  <c r="G20" i="1"/>
  <c r="F20" i="1"/>
  <c r="E20" i="1"/>
  <c r="D20" i="1"/>
  <c r="AA18" i="1"/>
  <c r="Z18" i="1"/>
  <c r="Y18" i="1"/>
  <c r="X18" i="1"/>
  <c r="W18" i="1"/>
  <c r="V18" i="1"/>
  <c r="U18" i="1"/>
  <c r="T18" i="1"/>
  <c r="S18" i="1"/>
  <c r="R18" i="1"/>
  <c r="Q18" i="1"/>
  <c r="P18" i="1"/>
  <c r="O18" i="1"/>
  <c r="N18" i="1"/>
  <c r="M18" i="1"/>
  <c r="L18" i="1"/>
  <c r="K18" i="1"/>
  <c r="J18" i="1"/>
  <c r="I18" i="1"/>
  <c r="H18" i="1"/>
  <c r="G18" i="1"/>
  <c r="F18" i="1"/>
  <c r="E18" i="1"/>
  <c r="D18" i="1"/>
  <c r="AA14" i="1"/>
  <c r="Z14" i="1"/>
  <c r="Y14" i="1"/>
  <c r="X14" i="1"/>
  <c r="W14" i="1"/>
  <c r="V14" i="1"/>
  <c r="U14" i="1"/>
  <c r="T14" i="1"/>
  <c r="S14" i="1"/>
  <c r="R14" i="1"/>
  <c r="Q14" i="1"/>
  <c r="P14" i="1"/>
  <c r="O14" i="1"/>
  <c r="N14" i="1"/>
  <c r="M14" i="1"/>
  <c r="L14" i="1"/>
  <c r="K14" i="1"/>
  <c r="J14" i="1"/>
  <c r="I14" i="1"/>
  <c r="H14" i="1"/>
  <c r="G14" i="1"/>
  <c r="AA5" i="1"/>
  <c r="Z5" i="1"/>
  <c r="Y5" i="1"/>
  <c r="X5" i="1"/>
  <c r="W5" i="1"/>
  <c r="V5" i="1"/>
  <c r="U5" i="1"/>
  <c r="T5" i="1"/>
  <c r="S5" i="1"/>
  <c r="R5" i="1"/>
  <c r="Q5" i="1"/>
  <c r="P5" i="1"/>
  <c r="O5" i="1"/>
  <c r="N5" i="1"/>
  <c r="M5" i="1"/>
  <c r="L5" i="1"/>
  <c r="K5" i="1"/>
  <c r="J5" i="1"/>
  <c r="I5" i="1"/>
  <c r="L7" i="2"/>
  <c r="L6" i="4"/>
  <c r="K17" i="4" s="1"/>
  <c r="M17" i="4" s="1"/>
  <c r="AE12" i="8" l="1"/>
  <c r="X7" i="1" s="1"/>
  <c r="AA12" i="8"/>
  <c r="T7" i="1" s="1"/>
  <c r="W12" i="8"/>
  <c r="P7" i="1" s="1"/>
  <c r="S12" i="8"/>
  <c r="L7" i="1" s="1"/>
  <c r="O12" i="8"/>
  <c r="H7" i="1" s="1"/>
  <c r="H17" i="1" s="1"/>
  <c r="AH12" i="8"/>
  <c r="AA7" i="1" s="1"/>
  <c r="AD12" i="8"/>
  <c r="W7" i="1" s="1"/>
  <c r="Z12" i="8"/>
  <c r="S7" i="1" s="1"/>
  <c r="V12" i="8"/>
  <c r="O7" i="1" s="1"/>
  <c r="R12" i="8"/>
  <c r="K7" i="1" s="1"/>
  <c r="N12" i="8"/>
  <c r="G7" i="1" s="1"/>
  <c r="G17" i="1" s="1"/>
  <c r="AG12" i="8"/>
  <c r="Z7" i="1" s="1"/>
  <c r="AC12" i="8"/>
  <c r="V7" i="1" s="1"/>
  <c r="Y12" i="8"/>
  <c r="R7" i="1" s="1"/>
  <c r="U12" i="8"/>
  <c r="N7" i="1" s="1"/>
  <c r="Q12" i="8"/>
  <c r="J7" i="1" s="1"/>
  <c r="J17" i="1" s="1"/>
  <c r="M12" i="8"/>
  <c r="F7" i="1" s="1"/>
  <c r="F17" i="1" s="1"/>
  <c r="AF12" i="8"/>
  <c r="Y7" i="1" s="1"/>
  <c r="AB12" i="8"/>
  <c r="U7" i="1" s="1"/>
  <c r="X12" i="8"/>
  <c r="Q7" i="1" s="1"/>
  <c r="T12" i="8"/>
  <c r="M7" i="1" s="1"/>
  <c r="P12" i="8"/>
  <c r="I7" i="1" s="1"/>
  <c r="I17" i="1" s="1"/>
  <c r="L12" i="8"/>
  <c r="E7" i="1" s="1"/>
  <c r="E17" i="1" s="1"/>
  <c r="B54" i="1"/>
  <c r="F11" i="1"/>
  <c r="G11" i="1" s="1"/>
  <c r="H11" i="1" s="1"/>
  <c r="I11" i="1" s="1"/>
  <c r="J11" i="1" s="1"/>
  <c r="K11" i="1" s="1"/>
  <c r="L11" i="1" s="1"/>
  <c r="M11" i="1" s="1"/>
  <c r="N11" i="1" s="1"/>
  <c r="O11" i="1" s="1"/>
  <c r="P11" i="1" s="1"/>
  <c r="Q11" i="1" s="1"/>
  <c r="R11" i="1" s="1"/>
  <c r="S11" i="1" s="1"/>
  <c r="T11" i="1" s="1"/>
  <c r="U11" i="1" s="1"/>
  <c r="V11" i="1" s="1"/>
  <c r="W11" i="1" s="1"/>
  <c r="X11" i="1" s="1"/>
  <c r="Y11" i="1" s="1"/>
  <c r="Z11" i="1" s="1"/>
  <c r="AA11" i="1" s="1"/>
  <c r="C4" i="2"/>
  <c r="B45" i="1"/>
  <c r="B49" i="1" s="1"/>
  <c r="C35" i="1"/>
  <c r="J6" i="1" l="1"/>
  <c r="D42" i="1"/>
  <c r="D41" i="1"/>
  <c r="G6" i="1"/>
  <c r="F6" i="1"/>
  <c r="E8" i="1"/>
  <c r="D8" i="1"/>
  <c r="I6" i="1"/>
  <c r="H6" i="1"/>
  <c r="K17" i="1"/>
  <c r="K6" i="1"/>
  <c r="D54" i="1" l="1"/>
  <c r="N7" i="2"/>
  <c r="C54" i="1"/>
  <c r="M7" i="2"/>
  <c r="L6" i="1"/>
  <c r="L17" i="1"/>
  <c r="E54" i="1" l="1"/>
  <c r="M17" i="1"/>
  <c r="M6" i="1"/>
  <c r="N17" i="1" l="1"/>
  <c r="N6" i="1"/>
  <c r="O17" i="1" l="1"/>
  <c r="O6" i="1"/>
  <c r="P17" i="1" l="1"/>
  <c r="P6" i="1"/>
  <c r="Q6" i="1" l="1"/>
  <c r="Q17" i="1"/>
  <c r="P23" i="1"/>
  <c r="P24" i="1" s="1"/>
  <c r="P26" i="1" s="1"/>
  <c r="Q23" i="1" l="1"/>
  <c r="Q24" i="1" s="1"/>
  <c r="Q26" i="1" s="1"/>
  <c r="R6" i="1"/>
  <c r="R17" i="1"/>
  <c r="R23" i="1" l="1"/>
  <c r="R24" i="1" s="1"/>
  <c r="R26" i="1" s="1"/>
  <c r="S6" i="1"/>
  <c r="S17" i="1"/>
  <c r="S23" i="1" l="1"/>
  <c r="S24" i="1" s="1"/>
  <c r="S26" i="1" s="1"/>
  <c r="T17" i="1"/>
  <c r="T6" i="1"/>
  <c r="T23" i="1" l="1"/>
  <c r="T24" i="1" s="1"/>
  <c r="T26" i="1" s="1"/>
  <c r="U6" i="1"/>
  <c r="U17" i="1"/>
  <c r="V6" i="1" l="1"/>
  <c r="V17" i="1"/>
  <c r="U23" i="1"/>
  <c r="U24" i="1" s="1"/>
  <c r="U26" i="1" s="1"/>
  <c r="V23" i="1" l="1"/>
  <c r="V24" i="1" s="1"/>
  <c r="V26" i="1" s="1"/>
  <c r="W6" i="1"/>
  <c r="W17" i="1"/>
  <c r="X17" i="1" l="1"/>
  <c r="X6" i="1"/>
  <c r="W23" i="1"/>
  <c r="W24" i="1" s="1"/>
  <c r="W26" i="1" s="1"/>
  <c r="X23" i="1" l="1"/>
  <c r="X24" i="1" s="1"/>
  <c r="X26" i="1" s="1"/>
  <c r="Y17" i="1"/>
  <c r="Y6" i="1"/>
  <c r="Y23" i="1" l="1"/>
  <c r="Y24" i="1" s="1"/>
  <c r="Y26" i="1" s="1"/>
  <c r="Z6" i="1"/>
  <c r="Z17" i="1"/>
  <c r="AA6" i="1" l="1"/>
  <c r="AA17" i="1"/>
  <c r="Z23" i="1"/>
  <c r="Z24" i="1" s="1"/>
  <c r="Z26" i="1" l="1"/>
  <c r="AA23" i="1"/>
  <c r="AA24" i="1" s="1"/>
  <c r="AA26" i="1" s="1"/>
  <c r="E5" i="2" l="1"/>
  <c r="G5" i="2" s="1"/>
  <c r="G3" i="2"/>
  <c r="F12" i="2" l="1"/>
  <c r="F13" i="2"/>
  <c r="K5" i="2"/>
  <c r="F11" i="2"/>
  <c r="M8" i="2"/>
  <c r="D6" i="1" s="1"/>
  <c r="F10" i="2"/>
  <c r="N8" i="2"/>
  <c r="E6" i="1" s="1"/>
  <c r="L8" i="2"/>
  <c r="C6" i="1" s="1"/>
  <c r="F12" i="1" l="1"/>
  <c r="E13" i="2"/>
  <c r="F14" i="2" s="1"/>
  <c r="C10" i="1"/>
  <c r="C11" i="2"/>
  <c r="G12" i="2"/>
  <c r="I12" i="2" s="1"/>
  <c r="M29" i="2" s="1"/>
  <c r="E13" i="1" s="1"/>
  <c r="E24" i="1" s="1"/>
  <c r="E26" i="1" s="1"/>
  <c r="G11" i="2"/>
  <c r="I11" i="2" s="1"/>
  <c r="L29" i="2" s="1"/>
  <c r="D13" i="1" s="1"/>
  <c r="D24" i="1" s="1"/>
  <c r="D26" i="1" s="1"/>
  <c r="G10" i="2"/>
  <c r="I10" i="2" s="1"/>
  <c r="K29" i="2" s="1"/>
  <c r="C13" i="1" s="1"/>
  <c r="C24" i="1" s="1"/>
  <c r="G13" i="2"/>
  <c r="I13" i="2" s="1"/>
  <c r="N29" i="2" s="1"/>
  <c r="F13" i="1" s="1"/>
  <c r="C26" i="1" l="1"/>
  <c r="C27" i="1" s="1"/>
  <c r="D27" i="1" s="1"/>
  <c r="E27" i="1" s="1"/>
  <c r="G14" i="2"/>
  <c r="I14" i="2" s="1"/>
  <c r="O29" i="2" s="1"/>
  <c r="G13" i="1" s="1"/>
  <c r="E14" i="2"/>
  <c r="E15" i="2" s="1"/>
  <c r="E16" i="2" s="1"/>
  <c r="E17" i="2" s="1"/>
  <c r="E18" i="2" s="1"/>
  <c r="E19" i="2" s="1"/>
  <c r="E20" i="2" s="1"/>
  <c r="E21" i="2" s="1"/>
  <c r="E22" i="2" s="1"/>
  <c r="F23" i="1"/>
  <c r="F24" i="1" s="1"/>
  <c r="G12" i="1"/>
  <c r="F26" i="1" l="1"/>
  <c r="E24" i="2"/>
  <c r="F15" i="2"/>
  <c r="G23" i="1"/>
  <c r="G24" i="1" s="1"/>
  <c r="H12" i="1"/>
  <c r="F27" i="1"/>
  <c r="G26" i="1" l="1"/>
  <c r="G27" i="1" s="1"/>
  <c r="I12" i="1"/>
  <c r="G15" i="2"/>
  <c r="I15" i="2" s="1"/>
  <c r="P29" i="2" s="1"/>
  <c r="H13" i="1" s="1"/>
  <c r="H23" i="1" s="1"/>
  <c r="H24" i="1" s="1"/>
  <c r="F16" i="2"/>
  <c r="H26" i="1" l="1"/>
  <c r="H27" i="1" s="1"/>
  <c r="G16" i="2"/>
  <c r="I16" i="2" s="1"/>
  <c r="Q29" i="2" s="1"/>
  <c r="I13" i="1" s="1"/>
  <c r="I23" i="1" s="1"/>
  <c r="I24" i="1" s="1"/>
  <c r="F17" i="2"/>
  <c r="J12" i="1"/>
  <c r="I26" i="1" l="1"/>
  <c r="I27" i="1" s="1"/>
  <c r="K12" i="1"/>
  <c r="G17" i="2"/>
  <c r="I17" i="2" s="1"/>
  <c r="R29" i="2" s="1"/>
  <c r="J13" i="1" s="1"/>
  <c r="J23" i="1" s="1"/>
  <c r="J24" i="1" s="1"/>
  <c r="J26" i="1" s="1"/>
  <c r="F18" i="2"/>
  <c r="L12" i="1" l="1"/>
  <c r="F19" i="2"/>
  <c r="G18" i="2"/>
  <c r="I18" i="2" s="1"/>
  <c r="S29" i="2" s="1"/>
  <c r="K13" i="1" s="1"/>
  <c r="K23" i="1" s="1"/>
  <c r="K24" i="1" s="1"/>
  <c r="K26" i="1" s="1"/>
  <c r="J27" i="1"/>
  <c r="F20" i="2" l="1"/>
  <c r="G19" i="2"/>
  <c r="I19" i="2" s="1"/>
  <c r="T29" i="2" s="1"/>
  <c r="L13" i="1" s="1"/>
  <c r="L23" i="1" s="1"/>
  <c r="L24" i="1" s="1"/>
  <c r="L26" i="1" s="1"/>
  <c r="K27" i="1"/>
  <c r="M12" i="1"/>
  <c r="L27" i="1" l="1"/>
  <c r="N12" i="1"/>
  <c r="F21" i="2"/>
  <c r="G20" i="2"/>
  <c r="I20" i="2" s="1"/>
  <c r="U29" i="2" s="1"/>
  <c r="M13" i="1" s="1"/>
  <c r="M23" i="1" s="1"/>
  <c r="M24" i="1" s="1"/>
  <c r="M26" i="1" s="1"/>
  <c r="G21" i="2" l="1"/>
  <c r="I21" i="2" s="1"/>
  <c r="V29" i="2" s="1"/>
  <c r="N13" i="1" s="1"/>
  <c r="N23" i="1" s="1"/>
  <c r="N24" i="1" s="1"/>
  <c r="N26" i="1" s="1"/>
  <c r="F22" i="2"/>
  <c r="G22" i="2" s="1"/>
  <c r="I22" i="2" s="1"/>
  <c r="W29" i="2" s="1"/>
  <c r="O13" i="1" s="1"/>
  <c r="O12" i="1"/>
  <c r="M27" i="1"/>
  <c r="N27" i="1" l="1"/>
  <c r="O23" i="1"/>
  <c r="O24" i="1" s="1"/>
  <c r="O26" i="1" l="1"/>
  <c r="F30" i="1" s="1"/>
  <c r="G5" i="9" s="1"/>
  <c r="F34" i="1"/>
  <c r="G6" i="9" s="1"/>
  <c r="F32" i="1"/>
  <c r="O27" i="1" l="1"/>
  <c r="P27" i="1" s="1"/>
  <c r="Q27" i="1" s="1"/>
  <c r="R27" i="1" s="1"/>
  <c r="S27" i="1" s="1"/>
  <c r="T27" i="1" s="1"/>
  <c r="U27" i="1" s="1"/>
  <c r="V27" i="1" s="1"/>
  <c r="W27" i="1" s="1"/>
  <c r="X27" i="1" s="1"/>
  <c r="Y27" i="1" s="1"/>
  <c r="Z27" i="1" s="1"/>
  <c r="AA27" i="1" s="1"/>
</calcChain>
</file>

<file path=xl/sharedStrings.xml><?xml version="1.0" encoding="utf-8"?>
<sst xmlns="http://schemas.openxmlformats.org/spreadsheetml/2006/main" count="154" uniqueCount="132">
  <si>
    <t xml:space="preserve">Amortyzacja </t>
  </si>
  <si>
    <t>Odsetki od kredytu</t>
  </si>
  <si>
    <t>Podatek od nieruchomości</t>
  </si>
  <si>
    <t xml:space="preserve">Podatek gruntowy </t>
  </si>
  <si>
    <t xml:space="preserve">Wieczyste </t>
  </si>
  <si>
    <t>Zużycie materiałów i energii</t>
  </si>
  <si>
    <t xml:space="preserve">Wynagrodzenia </t>
  </si>
  <si>
    <t xml:space="preserve">Opłaty bankowe </t>
  </si>
  <si>
    <t xml:space="preserve">Opłaty sądowe, notarialne </t>
  </si>
  <si>
    <t xml:space="preserve">Pozostałe </t>
  </si>
  <si>
    <t>Kupno gruntu</t>
  </si>
  <si>
    <t>Jednorazowa prowizja banku</t>
  </si>
  <si>
    <t>Podatek dochodowy</t>
  </si>
  <si>
    <t>Współczynnik dyskonta</t>
  </si>
  <si>
    <t>PLN</t>
  </si>
  <si>
    <t>Budowa budynku biurowego</t>
  </si>
  <si>
    <t>% wykorzystania możliwości budynku</t>
  </si>
  <si>
    <t>powierzchnia użytkowa, m2:</t>
  </si>
  <si>
    <t>całkowity koszt budowy, pln:</t>
  </si>
  <si>
    <t>koniec roku</t>
  </si>
  <si>
    <t>NPV=</t>
  </si>
  <si>
    <t xml:space="preserve">IRR = </t>
  </si>
  <si>
    <t>Okres użytkowania: 22 lata</t>
  </si>
  <si>
    <t>Rata</t>
  </si>
  <si>
    <t>odsetki</t>
  </si>
  <si>
    <t>Do spłaty*</t>
  </si>
  <si>
    <t>*) - na początek roku</t>
  </si>
  <si>
    <t>Spłata kredytu</t>
  </si>
  <si>
    <t>Przepływ pieniężny</t>
  </si>
  <si>
    <t>Zdyskontowany przepływ pieniężny</t>
  </si>
  <si>
    <t>Kumulowany zdyskontowany przepływ pieniężny</t>
  </si>
  <si>
    <t>Przychody (kredyt+sprzedaż)</t>
  </si>
  <si>
    <t>Prognozowany czas realizacji: 3 lata</t>
  </si>
  <si>
    <t>Prognozowany czas eksploatacji: 22 lata</t>
  </si>
  <si>
    <t>Prognozowana wartość rezydualna: 40% wartości budynku nowego</t>
  </si>
  <si>
    <t>cena najmu, pln/m2</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</si>
  <si>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</si>
  <si>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</si>
  <si>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</si>
  <si>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</si>
  <si>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</si>
  <si>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</si>
  <si>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</si>
  <si>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</si>
  <si>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</si>
  <si>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</si>
  <si>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</si>
  <si>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</si>
  <si>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1ae138d9-5d7b-407e-abb1-9a80649cdc67</t>
  </si>
  <si>
    <t>CB_Block_0</t>
  </si>
  <si>
    <t>㜸〱敤㕣㕢㙣ㅣ㔷ㄹ摥㌳摥㔹敦慣敤搸㡤搳㑢㑡㘹㑤㑢㕢愸㠳ㅢ愷つ愵㐰〸扥㌴㌷㥣搸㡤㥤ㄴ㔴搰㘶扣㝢㈶㥥㘶㘷挶㥤㤹㜵攲㔲愹ㄵ戴㕣挴愵㔲戹㠸搲〲㔵㠵㤰㜸攱昲㐰戹扥㈰㈱㐰愸㐸㍣挰〳ㄲて愵㐲昰〰㐲㤱㜸攱〱〹扥敦捣捣敥散慥㜷散㙥㕢㜰㤱㑦扡扦捦㥣摢㥣㜳晥敢昹晦㌳捤㠹㕣㉥昷㙦㈴晥㘵捡㌳㜳摤攲㝡㄰㑡㘷㘲挶慢搵㘴㈵戴㍤㌷㤸㤸昲㝤㜳㝤捥づ挲㍥㌴㈸㤴㙤搴〷㝡㌹戰ㅦ㤲挵昲㥡昴〳㌴搲㜳戹㘲搱搰㔰捦㐱昸ㅢ㐹ㅥっ昶ㅡ捣〳㉣捤㑣捦㉦㍦㠰㔱ㄷ㐳捦㤷晢挶捥㐶㝤て㑤㑥㑥㑣㑥ㅣ戸晢挰摢㈷昶敦ㅢ㥢愹搷挲扡㉦て戹戲ㅥ晡㘶㙤摦搸㐲㝤戹㘶㔷摥㈷搷㤷扣ぢ搲㍤㈴㤷昷摦戱㙣摥昹㡥挹㍢てㅥ戴敥扥晢ㅤ㠳㜸㜵敥搴捣昴㠲㉦慤攰㔵ㅡ㔳攷㤴敦㥣㤵ㄵ㥢㙢㤳搲户摤昳ㄳ㌳搳昸㉦㌵㝦㍣摤㌵戱戸㈲㘵挸㔷㑢㕦扡ㄵㄹㄸ攸㌸攰㑣〵㐱摤㔹攵收ㄹ捥ㄱ㉣戵㘲〶愱敥捣挸㕡捤㜰㤲㔱㡢捥㍣昶慥㘶慥て㍡㡢搲つ散搰㕥戳挳昵㠲戳㠴㠱慡㐳捥㤹㐰㥥㌶摤昳昲㤴改㐸摤㌹㕡户慢昹㈸攵晡㙥㑤㠶㐸㑦㑣㉤㝦㘲㉡㜰㘶㔶㑣㕦捤㈸攰挶㘴戴㍤攲㔷㕡摢摥搴㝤㕣㑥㕤扤㠱㘳摥摣扤ㅤ㙡捥㥡㝥愳攵㜸昷㤶昱攲㕢㘷㜰㝢昷昶愹㍤㙡敤昳搶敥㝤搴㔶戶戶ㄶ〳㌱㝤慢ㅤ挵㘲㡣〲㐱㍦㐱㤱㠰〸㌴㑡〴〳〴㠳〰㈲晦て㜰㐹扡㈳慢戴戲愹㤵㤷戵㜲㐵㉢㔷戵戲搴捡㤶㔶㍥慦㤵㔷戴戲慤㤵ㅦ搰捡ㄷ搰㈶㐹挵晥㝥㉤㑥㝦㝡改攷㥦㍡㜱昳㡢㈷㥦晤搵晤㘷㝥晣㑤攳㝢㠳扢搰攸摥㜸㔲戳扥㜹ㄱ愴搶愴攲〳ㄳ晢昹㙦㜳慥〰㔳㔸〷慤扢慣挹挹敡挱晤收ㅤ愶捥㘵㘵㈰扦㠵㔰㐶搰㜶搰扡捦㜶慢摥㐵㠵扢敢愶捤㐰㌶㌷㙥㍣慥㥢昶敡㙥㌵㜸挳挶㤵㡢愱ㄹ捡㙢摢敢㥡㠳㜴㜴㕢〴㕢挹㐰扤敦晡昶㙥㘷捤㕡㕤㑥㕤戲愳敡㌷戶㔵㍢ぢ扥户摣扤昶㠸㉦ㅦ㙣搴㜶捣㘸ち㐲㙤㑤㡤摤戱捡愸㉡㥡搷搸捣㡡ㄷ㐸㔷㑤㙦摣㔹戰㉢ㄷ愴扦㈸㈹ㄲ㘵㔵㉤昵㑡㔶挵㕣㍦㍥敦㘲愱攰搶敡㡤改㔲敢㥥㑢㈱㤸㔹㔶㌱摦㔵改㠷敢㑢收㜲㑤㕥搵搲㈴㝡㈷㉡昶戶ㄴㅦ昱㉡昵㘰挶㜳㐳摦慢戵搶㑣㔵搷㑣㐸㥡敡㐹慦㉡昳昹㥣ㄲち㄰戸㝤㝤㐲攴㙥敢捥ぢちㄱ㈹ㄴ㤳㤱慦㘹㈵扢㠹搳㔸ㅤ㔶㔱㤳愴㐹敤捤㥢っ挶昹㉡ㄹ㤳挱㠱愹㌵㔱㝦昰愵㙦搹㘴搸〶收㕥摢挶㥡㌶ㅡ慦晥㥥㌵改㠶挷㑣户㕡㤳㝥愶昶ㄳ㥣㤱㌱っ愰㕦㠶㐰攸扡㝢㔴㜵攲㤲㔸搷㉦摡搵㜰愵戰㈲敤昳㉢㈱捡愰㈱㡢㐵㙥㙤㐷㌲慥㐰㤱戱㥢㘰ㄴ愰㔴捡ㄵ昶戰㔱愱㠴㤴搳㈹㥤㌲㜸戹㐵㤰戳㕦ぢ㉦て㕡㐷散㕡㈸㈳愱㍣㙣〱㈳㤱㔶㔳攸ㅢ㈲㠹晡㘶㈵㔲ㄸ㝢慣ㄹ㔰愹㘹扢攱㝡㤳㙦㍢戸㈴㈲愲ㅤ㔹戰敤㘴〱㐵㐱慢㍣挸攰㌵㄰㑤㥢㌴挸㙥㥣㈲㈲戲㐱㠶㘶挷挸慤㐴挶昶ㄹ㌲〲敤搳㐴挸搶晢扢换〸ㄲ㝢㈷㤱戲㔳㔷㝥摣㤱㘶ㅢ搹昲㤱㌴扢ㄲㅢ㘷㕣㐵㜰㌵挱㌵〴㝢〱挴㥦㈱攱㈸攵㤰㙦㑤挶ㅢ昰㙣㕣㐷昰㐶〰挸㈷㠳㌲㈷ㄶ㔵戴愱戶㘲㐷戲摤㄰散㘴㘵ㄴ㐷愲㠸㤶㜱挳捥ㅣ㜲ㄴ愲㘳慢㜳㝢攸摡扣搲戱户㜴愷捤昴㜲㐸㤱ㄹ㑤搳㙢摤愴㘹㝡㈳搸戴㐷扤㜵〳扡ㅡ㘳〴㙦〲㈸ㄹ㌷ㄲ㐲戹搰攰摤㥡㐵㑦㤳昲㜵㘱ㄶ㐵挶㔰㡦ち㍥㈶㘴ㅥ〱㌲㠴㕣挷昱㘵挷㠶愶㌹㌸㙥扤敥㙤攸㝤摤昹㍢㐶㝡㥢摥摣搱㍢昴ㄷ扤㑣㉢晡㈶戰㤷昸㐳㔷ㅤ㜳㌳慡㡤㕢〸㙥〵㘸搳㌱㍣㝤扦㕣㑦㠱㌲㡢㥤ㄴ收㜶搳敢愲慣摣愵昵㔵愹㌴搰愰戵㘴晡攷㘵〸て挶昱㔹搸挲㥥敦换ㅡづ戵㔵㔵挰昳换搵慤㠵挱ㄱ摦㜳㔸扥㘳㈳〷慦ぢ挵㤰捦㙢㝤戹㌶ㅢ㌹挳搶㑣昹㥣㔲㤴㐳ㅤ㝣㐷㜷㈱㤱敡搴㑡㕥散㤷㝤扥摣㤱㈴㍤㐸㤲户㘲㕢㡤摢〰㈰㈵挴敦扡㑡㤴㝤㙣昶㌶搵慣搵㘲愵㠷㉦攳㜴搲收㐳散㤰㈳〳㤱挳㜶ㅡ晥㠳㘰挸㔹戴㥤㠶戰ㄸ㜰ㄶ愴㕦㠱㙦挱慥挹㔲攴㤶愵愸搹㤱ㄵ慦ㄳ㔹搱搷搷㜱㥥捥昰慦㈹㍡㘹㤳ㄲ㤹摣㥥㔹㤹㜱ㄶ㙦ㄲㄵ摤㤰ㄴ㉡ㄹ慥愱㠶〴㈲攵戱敤㡥㠸改㐱挴摣㡥㡤㌳昶ㄳ㑣ㄲㅣ〰搰㝦つ㐹戳搵㡤㘷㌸慣㝦㡤㉥敤㜲㌹㔷㈴ㅡ㤴㡢昰㠵慥挲敡㈰㕦昳㜶㠲扢〰摡捣ㅦ㍡㈰㌳〸㔱愱㍣㐵㠸㉡㡣㘱㥤戵攵㐵搲挰㉥ぢ㠱愵㤹㝡㄰㝡づ㈳㑢㐳搶慣㜷捡ぢ㘷敤㘰ㄵ㤱愸㔱㉢捥摣户㈲㕤㔰㤷て摢愷慤捣㕢㕤㤵㔵挳㕡昴敡㄰㙤挷㘷户挳挱ㅣ摢〱㕢㔲㥤捤㌵㠱搴摢昹ㄸ㐳〸散戴昲户搲ㅢ扢㈵敦㌷て㝤挳捤ㅤ㕤戲挳㥡ㅣ戰㈲愶㘳扥㘸㘱ㄷㄱ㌹愸昶㕢㑢㉢扥㤴戳㐳搶㔱摦慥搶㙣㔷ㄲㄹ戰㌱ㄹ慣㥢㤳攷ㄱ㈵㔸昰ㄸ〳昴摣㈱㙢挹㌷摤㘰搵㘴㐰㜱㝤㜷换㤳ち㡢攸搶戴敤〶㜸㡤挲㈲昳挳搶攲㡡㜷ㄱㄱ摢扡攳ㅥ㌵㔷㠳㙤㠱ㄵㄲ㝤㤴ㄴ㙡㠴㈶㌴㑤ㄴ戵㘲慦昸攱㠱㍣㤷㈳敦攵〹ㄴ慥㜲㍡㝤收ㄹ摡㥢㜶㝤ㅣ愳愱㥤捥㌹つ㈲㝡搴㈸散换㤴挲攴㔴攳㙥昶㜹㈷挰㠹愳㘷㡥㌷㈳㜳慦㈸㘶慤搳换㥦㈱攳ㄵ㔹㌴〲㈱昴搱敤㡡㐸㠵㘵愴ㅣ㜰㈰㌰捥愷㜶昲㉢㔹慡つ愹㙦㔷㌳㝢〴㤱愴㐱㙢捥㕣㤶㌵挴愳ㅤ㌳摣ㄵ㍤搰㡣㜵捣㕡㄰搷捤㜸㡥㘳㤲戴㐸㤶㡢ㄵ㤳ㄴ㍣㔵て扤㤳戶㙢㔸〰㡡晥攲㈲昳ㄲ㡡捣㑢慡㘸搰㍡捤搰愰捡㜳㉣敦扣改摢攱㡡㘳㔷㡡㝣㘰昸㙥㕢搰㈴㤸㥣㤲㌷㐹㠹捣ㄸ㙢戳收捦挰㘴ぢ㈶㠰敥〹挸㔱㙥ㅤ搱て捡搵㐴〱晦㐴㡦㡥㈵〸ㄸ攵㈹㌵摥㡤搱㜴㜵㍢〲㈲㐷愵换挹ㅤ㡣换㡦愰㈴ㄲ㐲挴㝡〶㠹挰㉢㤸ㄲ昲㜴㜱ㄷ慣㌳慥ㅤ〲㝢挴搸ㄱ㍢㥣つ㠰㜲〰㘴搵昱昶㕡㠵搵㔴愷昱㠶㔶戸愱戳慡㐵㑤㕣摦㔹㥦搶ㅢ㙦摥愰㍡搲㈸㈹㐵戲㔹㈳愵㔹㌶㤸攳㜶㔲㌵㐲㈹敥㐴摢㠸㉣户㘹㜳摦㈹㐵㕥㠱㘲㔲㌴㤳㌳摥愳〸〵㠱摥㔸㐷搱㘷㥦㑤ㅥ愹㠸つ㙤㠰ㄲ昵㔴㔴㌶ㄴ㠷〴㡦攳摡㐹㔵㤶攲㈷昰昷慥㌸㍢㕦て㕢㙡捣㑢愳㜱捤㔴慤㌶敦挲㑡愸㤸㝥㜵㥢戰㌴搶ㄶ㘹ㄸ挵㥤扤㙡晦㘸㝢㔳㡣ㄸ戳㈱挳㈲ㄹ㝥㘰戰㈱㤸㉢ㄵ㔱愵㜵㌶挴慤㙥ㄴㄷ昹㜴㔲㥡慥挲挰㘲㔸㥤㤵㙢捡っ㙢㕡昲愳慡㐳攳戴愸攴愸㘱㑤㉤〷㔰改㈱攵㜸㥣㔳っ㙥㔸愷改㤶挲㈵〶㠸摤㌸户㔰〹ㄱ摡㙤っ挰㤳挱昶挱づ㜶㈴ち㥤搰㍡愳〴㉤㘴㄰㙥敢㈲挸㍢㍤㘲ㄴ㠲搴㔲改敦㠷挵㤷㥦㘲晡收攱㕣㤲㠹㤹㠸攱慥っ敢〱挸㑤㐷㈶挹㐵愳㐹挰㍣㤲㙣㑡㘸つ㈶㘵㌴㌱㠶㘸昲昹㈱㙥昱㌰㤶㌵㑣戶愹攱㥥㕢㘸㐳㥢搶搶㜷㔹挷摤㑡慤㕥㤵㑡ㄵ㈷戲㕡㘹攴㙤㠱㉦㜵〵㌰攲愶㡣㝤㠹㌷攵㌸㡥㔲㕣㌲㤱搴扢摤㙤ㅣ㐶㜷㈵攴㌰㐶愴晡ㄸ㠰捣㜰换愹㠰㔸挷㍤〵摡㠷扢㥢ㄷㄸ搴攵㌹㠸戴㡥㈲捡戲㌹摣挷㙢㐴㤱ㄵ户愵㥡捤㜹㜳ㅥ㙤昶㔴搱㌱㍢㉡摡ㄶ㌸挲㍡㈳㠱㔷㈸挰ㄸ改㤱㍢㌸㐸敥㜲ㅣ摤扤晣㠸㝡捣㕤〶㉡ㄴ〶〴㘳扣㍣〵攵戰慢㘰㈴ㅡ摣㕡搳敡ㄶ㡣晥搲昲㌶愶〰〴挳挰㌴㘸搱㌲㌲㜰㘶㤰摦摣挰戹〱慤㌲㈲愴改㘰㉡㘳㤴愳㜰搸〳㘹攰㈶ㅥ愴㤷㍣㈸愱㜰㡦扡ㄸ㤶摣㑤ㅣ㜷㜰〴昲晣慢摡ちㄷ捣㄰搷㕦摣扤㙤挵㔳搵㉡捤㕤昸攷戶〵㔶㜱㜵㈳㌲㐷昷戴㕤捡㔲㙢愲㝤㜷㔳㕢㐵㝣㔹昰挰散挴㌱㌳慣慣㉣㠶敢搱挵慤㕥㐹㐲晦〹晣ㄱㅢ扥㥤㌶㜳摥攵㐵搴㌵敥㝤改㠲敢㕤㜴搵扣昴㠰户晥㐰㈱戸㐲搹捦㐹㤶㜲晦挶㍦㤵戴㥣晥㘳㡣戸㤵㘹㜳㠰愶㠳㠴攳愸ㄴ㐹㠳㌱攴㌳攸〴戶㝢攳搶〰改㘴㑦ㅢ㥤㈸㐱戰㐳㈸敥昹㔷㡤㔰挴㡦㠰㔶ㄲ㑢㜴㈴挷㥥㝦〳慣㉦㝥㠸ㄲ㈲ㅣ捦戱ㄸ搱摦㠴㕣〶敡㤴㈰㡦慦㜸昰㐲挸晦て㤶ㄲ㙥摥㤰㥤晥ぢ捣㉣㝥搰㡥愲敢㠹愲敦㜷愰㐸昰ㅡ㠸攲摦ㄳ挸㈴㐹㘷㜸昶㘵〵挲戹愶㥤〳攸㙢㝥攱昷㝦㜸〰㥤㡢㠹㐳搹㘸〸戵摤㡣攷㠶㠹搰搷㘱㈲㌰㜸慦㑣㠴㤳挸〸㐶昱㈳ㄳ㈱昶㠱捣愳㘰㜳ㄳ㠱戱扤っ㐳㌰ㄵ㙡㑤戹㌵㜸〲扢捡愱㝦散ㄸ㉥摥捡〰昱㝣㈸慤㘰〶ㅥ愹慢㍢㡢ㄷ㑣摦㜴昶慡昲愳扥㠴㌲昳㤷㜰㤳㕢㜵㘱㡦㙢㌷慣㔱㥤㌶昰㔵㈴㕥昶ㅤ㝦捡搶敥慦〳㔳㔱㡡摣昷愲㈸ち慦挰㔳㈲㜸㙥挸㝤㜸捦户㡥晥昱愱挷づ昳戶㕡㑣慢晡㙤挸昷ㄲ戲愷㍤㠱愰㙥敡愲挸㤵晣㌰攷㈴㍥㔱戲㔷㙢㜲摡昴㤵ㄵㄴㄸ㑥㤲㡤〸㉦㐵㤸ㄱ昱㙤〷ㄳㄳ昷ㅥ㈲ㄳ㜳愲捤摤愹㍥㙣㔲㉥挲㠹搴挴㤵㑦㉦〹ㅢ㡡慥㡡慣㐷㙢㔳晦づ㔴搱换㥣㐸慢㤵挸㔳㈷㤳㄰摦㙥搷㜵〷愹敢愲㠳っ挳晥㠹㤴㐲晣㠱ㄴ㤲㍥挸昰㐲㠰㤲㔲愷㤱搱㙦〷挸㠸慣戵㠷㜸改て搸ㄱ〲戲㜱改慦挷㡦㔸戰㡢挰㘲攲㡢敦昵㐴㑢㕢㌴㔱㑤っ搵㉡㥢㘶ㄱㄹ㜵㜸㘱挱㘴㔲扡㠴㑣㤲昴〳挸㙤搹ㅤ挵㤷っ㌹㔱攰㉤㘲㙣摤愱慦慤攴摣攳搶㜱昳〳㝡愶愰ㄴ㠶扢㥢挵㌸㤰慡ㄸ㕤搴戴ㄴㄵㄱづ㐷搹㐶愷㠱戸ち㍡换摤㡢㔳㈹㠲㝦晣㔲㠸昵攳捤愱慦㙣慦愱㡥㜳晢戱㐰晥㘰㝦㕤㥦挱搸㜸㉢㌹〶ㄲ㜶㑢慤㡡搱昵昰㌳攸挲㐵攷㠴搱捣慡㘷㜱㄰㝦ㄲ捥敡搳㍡昴㍦愳搷㡡戳捥戲㌷挳搸㉤晡晦晤㈸搸㔴晦ぢ挶摥ㄴ㈲㍦㄰㘷昸愰㌳㝥戲㘹挸㠶㍢〲捦㌶㠲㌷敡㘰㙣愸㉣㐳摥㔱㙥ㄱㅦ慦㐶搵㑡㠲挳敦㤵㙦扦ㅡ搱攸㑢摢㜶愰慢〰㘴㙣㐸晦〶㐴㔰搷晥慤㜲㉢㌹摤ㄶ敥㐷挷㍤㈷敤㡡敦〵㥥ㄵ㡥㉤㈲攸㍢挶㙦捦㉣搸㍣㔳攲敢敤㐲敤㈶散挴攰㠷搰攷搴㍣〴昶㈹ㄹ扥㕡戱㐸㐶ㄶ戶ㄶ挹攰㜷㐸㈳愹昰ㄲ戵㐳㜰㠵㜵㙦摤慣攱搳搵㜹昸㍡㐳ㄶ㙤ぢ㘵ㄷ㜹㥣摢㙦㘸㜰敢㜰㐷敢㝤昰〷挹摡〴㠲㘳㙡〹昷㝦㠸晢摡扥〷慤㙤攳戵〵㙣搹㥢捦慤愴㍦〷㥣㙥敤㉤慤㈴挳㜷昲㡢攴㤲㔱㈶挴愵晤挳昸扢㜵〷㉤㐷ㅢ〵㥤挷ㅦ㜴搳ㄱ㌶㕥㠳晢㙣ぢ搱敦㜳攸㉡愶〸昰㌳捣㌸挳〷㐱㉦ㅦ㔹㔱㝣ㄵ换㈲〳㈰㥦㉢㔴〰扡㔳昵㌳ㅢ㔱昵挸〹昶㐴ㄲ㍣㘳㤰ㅣ㑢攲㘹㌴攴㜶㐵换〶㑢㜰搹㐲㥤㈵㤰㌷㤲ㅥ挸攷〴捦ㄲ㙡㈲㕦㐲㠷挶㐴㙣㤴㜶㥦挸ㄷ㌷㥡㠸愰ㄵ愰ㄶ㥡ㅥ㝦㈴搱㈲㐶つ搵㠶㐳攰ㄲ㜸〰㈳㠹㌲ㄹ愶㝣愴搰㈹㐴㌱㠶ㅦㄲ㐵㐸扦㠹晦扥㜸昸搷㉦㌰晤敤戰㔰ㄲㄱ㔵慤慢愰㐴㔴慢㜸㈲扤ちㅦ愵摤㔷昱㤹㡤㔶㌱㐲㘱挹㤹ㄸ㈱挰㔰㥦㈸攳㡦㕡㔵ㅤㄹ㙥㈸㝦攲ㅣ〱㝥㉤戳ㄸ㌱㔱愲晡㕥㐴〶㝤戹昳慡搵㈵㘴㤲扥㍡㌷㈲攳㉢ㅦ㘵㈸昱㐶㈴㥤㍡㠵挸㉢㕢㠸搴㘳搱㠹摤戱摢㐲㐸㘰㐹晣㙣戶慢㙣㉦昴ㄸ敡ㄷㅦ㑦㄰㜳散㔸昲〹㤵ㄶ〷㥦㐰ㄸ㤱㘹㑡㐲攲㐶㡡㡦㈵㡤扦晢㝣搳㜷㡡ち㈴㔰㑦搴㤸〴愷ㅡ㍦㥥㌴㍥㠰捦戳㔴㥢ㅣ慦ㄲ㌰扤㤸㌴㈶㘱慡挶㡦㈵㡤晦㝡㘰㙦愳㜱㐲㠷搱挸㍡㠹㈴挳攸㔵挷㠰搴愷摡挳㘸慥㕢㔴愴〳㔶㔴㑣ㄱ慡㘲挸㌵愵㑡〷㜱㉢挴挷挷搲㜳戸攴㠴扢㈰㤰戶搱晦㌳攱㌸㉥㍦捤㥡愱㠹㙦愱搷㄰㜵昶つ昵挴捥〵㙢摥㐷㐱扦㜵㍣挰攱慡扡慤㐸〴㜶㐱㍥摡摦㑤扣昳ㄹ㌶㘴㜳㍦㤲㘸㤹挶换㈴扤㘹ㄱㄵ㘱挹㡢㡦㈴㤸捤㍤摡愴ㄹ攳ㄱ㈰〷㘲ㄲ㤰ㄹ攳㔱挰㈸㈲戳㠷〵㈳攴㝦挵摣ㅦ㘱挵㐷〹ㅥ〳㈸〹㌲㍢改愰昰㌸挰㜰昲㝦慣ㄸ㕢㔳㡥ㄳ㑤㍣㤴扣㉣㑤㐶挶挷搹攱ㄳ〰㝤昰攳㡡㤸〸㑢挶㈷㔱㤲㝥㈹〵㠷㝡改愷㔸昱㘹㠲捦〰㤴㜴㑥㜶换扢挶㌵昵愸挲㍥㡢慥攲㔱〲晣㡣㈷攲っㅦ㜴敥挳扢扡ㅢ捤㍣ㄳ㈷㕦昸㈳收搹昲㈹晦㍤昸㌴㝦㥤㡢敥挳晦㤹㐴㔷ㄶ㝥㕥㝢㘷㙦㘳㤱〹㘸㥣慢摦㉡㌶晢ㄵ㡣挳㜵㌵㐳㈹ㅣ㤱㑡愵愸ㄵ〴昱捤〵ぢて㙦攰㕢づ愹ち㈱㐸〳慡挲㡤㉢づ愳挰昸ㅣ㥢ㄲ挷挴㤳昱㜹㍥ㄱ戵㙡ㄳ扦㄰㘷昸㈰㠸㔷搵晤㠱戸㝢昲㐲攲㕡㔵搸㙤㉦㈴晥㔵挵㑡晡㠵㑦㜱㌰㠵㉣㘴㕡戵ㄲ㤱愶㘸攸㘹㘴㠶晡㠶㌹户晢昰搳㉥㠹捡戹敡戹㜳晦ㅣ捥㡦㕤㥢㝦晦㝢〷㥦㝡昱㔷㉦㍤昹摢てㅥ晡换扦㥥㜹收户㝦㝡昲㠵㝦晤㘴昹搰㉦㥥㝢敥㘷㈷扥昶挲㑢扢慤㘷戵攷晦㌹昷散挳㤳ㄷㅥ㝥搰㍡㜳摢搱㠷㍦昰挰扤㤳ぢ㔷㡣昷昵昵昷摦㍡晡换㙢摥㌲昲攸㠳㍦㄰㍦晤晤搵慥㔰换挵ぢ㕡愷挱㘵慢㘹㝣〵ㄹ㑣㠳㌳㝥㑤愷挱攵慡㡤㕡㡥㌷㙡ㅡ〵㐵㌸㌷㌸〱㔵㘱戶㔶っ晣〷㙣晡戴慣</t>
  </si>
  <si>
    <t>Decisioneering:7.0.0.0</t>
  </si>
  <si>
    <t>c87d798a-cd7a-4d3c-b595-7b014453c600</t>
  </si>
  <si>
    <t>CB_Block_7.0.0.0:1</t>
  </si>
  <si>
    <t>㜸〱敤㕣㕢㙣ㅣ㔷ㄹ摥㌳摥㔹敦慣敤搸㡤搳㑢㑡㉦愶愵㉤搴挱㡤搳㠶㔲㈰〴㕦㥡ㅢ㑥散挶㑥ち㠲㙡㌳摥㍤ㄳ㑦戳㌳攳捥捣㍡㜱㈹㙡〵㠵㠲ち㔴㉡ㄷ㔱㈸ㄷ㔵愸ㄲ㐲攲昲挲晤〵〹〹㠴㡡㠴〴㍣㈰昱㔰㄰㠲〷㄰㡡挴ぢて㐸昰㝤㘷㘶㜶㘷㜷扤㘳㜷摢㠲㡢㝣搲晤㝤收摣收㥣昳㕦捦晦㥦㘹㑥攴㜲戹㝦㈳昱㉦㔳㥥㤹敢ㄶ搷㠳㔰㍡ㄳ㌳㕥慤㈶㉢愱敤戹挱挴㤴敦㥢敢㜳㜶㄰昶愱㐱愱㙣愳㍥搰换㠱晤戰㉣㤶搷愴ㅦ愰㤱㥥换ㄵ㡢㠶㠶㝡づ挲摦㐸昲㘰戰搷㘰ㅥ㘰㘹㘶㝡㝥昹㐱㡣扡ㄸ㝡扥摣㌷㜶㌶敡㝢㘸㜲㜲㘲㜲攲挰㍤〷摥㌲戱㝦摦搸㑣扤ㄶ搶㝤㜹挸㤵昵搰㌷㙢晢挶ㄶ敡换㌵扢昲㙥戹扥攴㕤㤰敥㈱戹扣晦捥㘵昳慥户㑥摥㜵昰愰㜵捦㍤㙦ㅤ挴慢㜳愷㘶愶ㄷ㝣㘹〵慦搰㤸㍡愷㝣搷慣慣搸㕣㥢㤴扥敤㥥㥦㤸㤹挶㝦愹昹攳改敥㠹挵ㄵ㈹㐳扥㕡晡搲慤挸挰㐰挷〱㘷㉡〸敡捥㉡㌷捦㜰㡥㘰愹ㄵ㌳〸㜵㘷㐶搶㙡㠶㤳㡣㕡㜴收戱㜷㌵㜳㝤搰㔹㤴㙥㘰㠷昶㥡ㅤ慥ㄷ㥣㈵っ㔴ㅤ㜲捥〴昲戴改㥥㤷愷㑣㐷敡捥搱扡㕤捤㐷㈹搷㜷㕢㌲㐴㝡㘲㙡昹ㄳ㔳㠱㌳戳㘲晡㙡㐶〱㌷㈶愳敤ㄱ扦搲摡昶收敥攳㜲敡敡つㅣ昳㤶敥敤㔰㜳搶昴ㅢ㉤挷扢户㡣ㄷ摦㍡㠳㍢扡户㑦敤㔱㙢㥦㌷㜵敦愳戶戲戵戵ㄸ㠸改㕢敤㈸ㄶ㘳ㄴ〸晡〹㡡〴㐴愰㔱㈲ㄸ㈰ㄸ〴㄰昹㝦㠰㑢搲ㅤ㔹愵㤵㑤慤扣慣㤵㉢㕡戹慡㤵愵㔶戶戴昲㜹慤扣愲㤵㙤慤晣愰㔶扥㠰㌶㐹㉡昶昷㙢㜱扡㝥攱搷㑦晤㝥摦〳敦晡挶㑦晥晣挱扢慦㝦昲挴攰㉥㌴扡㉦㥥搴慣㙦㕥〴愹㌵愹昸挰挴㝥晥摢㥣㉢挰ㄴ搶㐱敢㙥㙢㜲戲㝡㜰扦㜹愷愹㜳㔹ㄹ挸㙦㈱㤴ㄱ戴ㅤ戴敥户摤慡㜷㔱攱敥扡㘹㌳㤰捤㡤ㅢ㡦敢愶扤扡㕢つ㕥户㜱攵㘲㘸㠶昲摡昶扡收㈰ㅤ摤ㄶ挱㔶㌲㔰敦扢愱扤摢㔹戳㔶㤷㔳㤷散愸晡晡戶㙡㘷挱昷㤶扢搷ㅥ昱攵㐳㡤摡㡥ㄹ㑤㐱愸慤愹戱㍢㔶ㄹ㔵㐵昳ㅡ㥢㔹昱〲改慡改㡤㍢ぢ㜶攵㠲昴ㄷ㈵㐵愲慣慡愵㕥挹慡㤸敢挷攷㕤㉣ㄴ摣㕡扤㈹㕤㙡摤㝢㈹〴㌳换㉡收扢㉡晤㜰㝤挹㕣慥挹慢㕡㥡㐴敦㐴挵摥㤶攲㈳㕥愵ㅥ捣㜸㙥攸㝢戵搶㥡愹敡㥡〹㐹㔳㍤改㔵㘵㍥㥦㔳㐲〱〲户慦㑦㠸摣敤摤㜹㐱㈱㈲㠵㘲㌲昲㌵慤㘴㌷㜱ㅡ慢挳㉡㙡㤲㌴愹扤㘱㤳挱㌸㕦㈵㘳㌲㌸㌰戵㈶敡て扥昴㡤㥢っ摢挰摣慢摢㔸搳㐶攳搵摦扢㈶摤昰㤸改㔶㙢搲捦搴㝥㠲㌳㌲㠶〱昴换㄰〸㕤㜷㡦慡㑥㕣ㄲ敢晡㐵扢ㅡ慥ㄴ㔶愴㝤㝥㈵㐴ㄹ㌴㘴戱挸慤敤㐸挶ㄵ㈸㌲㜶ㄳ㡣〲㤴㑡戹挲ㅥ㌶㉡㤴㤰㜲㍡愵㔳〶㉦户〸㜲昶㙢攱攵㐱敢㠸㕤ぢ㘵㈴㤴㠷㉤㘰㈴搲㙡ち㝤㐳㈴㔱摦慣㐴ち㘳㡦㌵〳㉡㌵㙤㌷㕣㙦昲㙤〷㤷㐴㐴戴㈳ぢ戶㥤㉣愰㈸㘸㤵〷ㄹ扣〶愲㘹㤳〶搹㡤㔳㐴㐴㌶挸搰散ㄸ戹㤵挸搸㍥㐳㐶愰㝤㥡〸搹㝡㝦㜷ㄹ㐱㘲敦㈴㔲㜶敡捡㡦㍢搲㙣㈳㕢㍥㤲㘶㔷㘲攳㡣慢〸慥㈶戸㠶㘰㉦㠰昸㌳㈴ㅣ愵ㅣ昲慤挹㜸ㅤ㥥㡤敢〸慥〷㠰㝣㌲㈸㜳㘲㔱㐵ㅢ㙡㉢㜶㈴摢つ挱㑥㔶㐶㜱㈴㡡㘸ㄹ㌷散捣㈱㐷㈱㍡戶㍡户㠷慥捤㉢ㅤ㝢㙢㜷摡㑣㉦㠷ㄴ㤹搱㌴扤搶㑤㥡愶㌷㠲㑤㝢搴㕢㌷愲慢㌱㐶昰㝡㠰㤲㜱ㄳ㈱㤴ぢつ摥慤㔹昴㌴㈹㕦ㄳ㘶㔱㘴っ昵愸攰㘳㐲收ㄱ㈰㐳挸㜵ㅣ㕦㜶㙣㘸㥡㠳攳搶㙢摥㠶摥搷㥤扦㘳愴户改捤ㅤ扤㐳㝦搱㑢戴愲㙦〶㝢㠹摦㜷搵㌱户愰摡戸㤵攰㌶㠰㌶ㅤ挳搳昷㑢昵ㄴ㈸戳搸㐹㘱㙥㌷扤㉥捡捡㕤㕡㕦㤵㑡〳つ㕡㑢愶㝦㕥㠶昰㘰ㅣ㥦㠵㉤散昹扥慣攱㔰㕢㔵〵㍣扦㕣摤㕡ㄸㅣ昱㍤㠷攵㍢㌶㜲昰㥡㔰っ昹扣搶㤷㙢戳㤱㌳㙣捤㤴捦㈹㐵㌹搴挱㜷㜶ㄷㄲ愹㑥慤攴挵㝥搹攷换ㅤ㐹搲㠳㈴㜹ㄳ戶搵戸ㅤ〰㔲㐲晣戶慢㐴搹挷㘶㙦㔶捤㕡㉤㔶㝡昸㌲㑥㈷㙤㍥挴づ㌹㌲㄰㌹㙣愷攱㍦〸㠶㥣㐵摢㘹〸㡢〱㘷㐱晡ㄵ昸ㄶ散㥡㉣㐵㙥㔹㡡㥡ㅤ㔹昱ㅡ㤱ㄵ㝤㝤ㅤ攷改っ晦㥡愲㤳㌶㈹㤱挹敤㤹㤵ㄹ㘷昱㈶㔱搱つ㐹愱㤲攱ㅡ㙡㐸㈰㔲ㅥ摢敥㠸㤸ㅥ㐴捣ㅤ搸㌸㘳㍦挱㈴挱〱〰晤㤷㤰㌴㕢摤㜸㠶挳晡搷攸搲㉥㤷㜳㐵愲㐱戹〸㕦攸㉡慣づ昲㌵㙦㈱戸ㅢ愰捤晣愱〳㌲㠳㄰ㄵ捡㔳㠴愸挲ㄸ搶㔹㕢㕥㈴つ散戲㄰㔸㥡愹〷愱攷㌰戲㌴㘴捤㝡愷扣㜰搶づ㔶ㄱ㠹ㅡ戵攲捣晤㉢搲〵㜵昹戰㝤摡捡扣搵㔵㔹㌵慣㐵慦づ搱㜶㝣㜶㍢ㅣ捣戱ㅤ戰㈵搵搹㕣ㄳ㐸扤㥤㡦㌱㠴挰㑥㉢㝦㉢扤戱㕢昲㝥昳搰㌷摣摣搱㈵㍢慣挹〱㉢㘲㍡收㡢ㄶ㜶ㄱ㤱㠳㙡扦戵戴攲㑢㌹㍢㘴ㅤ昵敤㙡捤㜶㈵㤱〱ㅢ㤳挱扡㌹㜹ㅥ㔱㠲〵㡦㌱㐰捦ㅤ戲㤶㝣搳つ㔶㑤〶ㄴ搷㜷户㍣愹戰㠸㙥㑤摢㙥㠰搷㈸㉣㌲㍦㙣㉤慥㜸ㄷㄱ戱慤㍢敥㔱㜳㌵搸ㄶ㔸㈱搱㐷㐹愱㐶㘸㐲搳㐴㔱㉢昶㡡ㅦㅥ挸㜳㌹昲㕥㥥㐰攱㉡愷搳㘷㥥愱扤㘹搷挷㌱ㅡ摡改㥣搳㈰愲㐷㡤挲扥㑣㈹㑣㑥㌵敥㘱㥦户〱㥣㌸㝡收㜸㌳㌲昷戲㘲搶㍡扤晣ㄹ㌲㕥㤱㐵㈳㄰㐲ㅦ摤慥㠸㔴㔸㐶捡〱〷〲攳㝣㙡㈷扦㤲愵摡㤰晡㜶㌵戳㐷㄰㐹ㅡ戴收捣㘵㔹㐳㍣摡㌱挳㕤搱〳捤㔸挷慣〵㜱摤㡣攷㌸㈶㐹㡢㘴戹㔸㌱㐹挱㔳昵搰㍢㘹扢㠶〵愰攸㉦㉥㌲㉦愱挸扣愴㡡〶慤搳っつ慡㍣挷昲捥㥢扥ㅤ慥㌸㜶愵挸〷㠶敦戶〵㑤㠲挹㈹㜹㤳㤴挸㡣戱㌶㙢晥っ㑣戶㘰〲攸㥥㠰ㅣ攵搶ㄱ晤愰㕣㑤ㄴ昰㑦昴攸㔸㠲㠰㔱㥥㔲攳ㅤㄸ㑤㔷户㈳㈰㜲㔴扡㥣摣挱戸晣㈸㑡㈲㈱㐴慣㘷㤰〸扣㠲㈹㈱㑦ㄷ㜷挱㍡攳摡㈱戰㐷㡣ㅤ戱挳搹〰㈸〷㐰㔶ㅤ㙦慦㔵㔸㑤㜵ㅡ㙦㘸㠵ㅢ㍢慢㕡搴挴つ㥤昵㘹扤昱㠶つ慡㈳㡤㤲㔲㈴㥢㌵㔲㥡㘵㠳㌹㙥㈷㔵㈳㤴攲㑥戴㡤挸㜲㥢㌶昷㥤㔲攴㘵㈸㈶㐵㌳㌹攳㥤㡡㔰㄰攸㡤㜵ㄴ㝤昶搹攴㤱㡡搸搰〶㈸㔱㑦㐵㘵㐳㜱㐸昰㌸慥㥤㔴㘵㈹㝥〲㝦敦㡡戳昳昵戰愵挶扣㌴ㅡ搷㑣搵㙡昳㉥慣㠴㡡改㔷户〹㑢㘳㙤㤱㠶㔱摣搹慢昶㡦戶㌷挵㠸㌱ㅢ㌲㉣㤲攱〷〶ㅢ㠲戹㔲ㄱ㔵㕡㘷㐳摣敡㐶㜱㤱㑦㈷愵改㉡っ㉣㠶搵㔹戹愶捣戰愶㈵㍦慡㍡㌴㑥㡢㑡㡥ㅡ搶搴㜲〰㤵ㅥ㔲㡥挷㌹挵攰㠶㜵㥡㙥㈹㕣㘲㠰搸㡤㜳ぢ㤵㄰愱摤挶〰㍣ㄹ㙣ㅦ散㘰㐷愲搰〹慤㌳㑡搰㐲〶攱戶㉥㠲扣搳㈳㐶㈱㐸㉤㤵晥㝥㔸㝣攱ㄹ愶慦ㅦ捥㈵㤹㤸㠹ㄸ敥捡戰ㅥ㠰摣㜴㘴㤲㕣㌴㥡〴捣㈳挹愶㠴搶㘰㔲㐶ㄳ㘳㠸㈶㥦ㅦ攲ㄶて㘳㔹挳㘴㥢ㅡ敥戹㠵㌶戴㘹㙤㝤㤷㜵摣慤搴敡㔵愹㔴㜱㈲慢㤵㐶摥ㄶ昸㔲㔷〰㈳㙥捡搸㤷㜸㔳㡥攳㈸挵㈵ㄳ㐹扤摢摤挶㘱㜴㔷㐲づ㘳㐴慡㡦〱挸っ户㥣ち㠸㜵摣㔳愰㝤戸扢㜹㠱㐱㕤㥥㠳㐸敢㈸愲㉣㥢挳㝤扣㐶ㄴ㔹㜱㕢慡搹㥣㌷攷搱㘶㑦ㄵㅤ戳愳愲㙤㠱㈳慣㌳ㄲ㜸㠵〲㡣㤱ㅥ戹㠳㠳攴㉥挷搱摤换㡦慡挷摣㘵愰㐲㘱㐰㌰挶换㔳㔰づ扢ち㐶愲挱慤㌵慤㙥挱攸㉦㉤㙦㘳ち㐰㌰っ㑣㠳ㄶ㉤㈳〳㘷〶昹捤つ㥣ㅢ搱㉡㈳㐲㥡づ愶㌲㐶㌹ち㠷㍤㤰〶㙥攲㐱㝡挹㠳ㄲち昷愸㡢㘱挹摤挴㜱〷㐷㈰捦扦慡慤㜰挱っ㜱晤挵摤摢㔶㍣㔵慤搲摣㠵㝦㙥㕢㘰ㄵ㔷㌷㈲㜳㜴㑦摢愵㉣戵㈶摡㜷㌷户㔵挴㤷〵て捣㑥ㅣ㌳挳捡捡㘲戸ㅥ㕤摣敡㤵㈴昴ㅦ挳ㅦ戱攱摢㘹㌳攷㕤㕥㐴㕤攳摥㤷㉥戸摥㐵㔷捤㑢て㜸敢てㄴ㠲㉢㤴晤㥣㘴㈹昷㙦晣㔳㐹换改㍦挲㠸㕢㤹㌶〷㘸㍡㐸㌸㡥㑡㤱㌴ㄸ㐳㍥㠳㑥㘰扢㌷㙥つ㤰㑥昶戴搱㠹ㄲ〴㍢㠴攲㥥㝦挵〸㐵晣㄰㘸㈵戱㐴㐷㜲散昹昳㘰㝤昱〳㤴㄰攱㜸㡥挵㠸晥㝡攴㌲㔰愷〴㜹㝣挵㠳ㄷ㐲晥㝦戰㤴㜰昳㠶散昴㕦㘰㘶昱晤㜶ㄴ摤㐰ㄴ㝤慦〳㐵㠲搷㐰ㄴ晦㥥㐰㈶㐹㍡挳戳㉦㈹㄰捥㌵敤ㅣ㐰㕦昵ぢ扦晦挳〳攸㕣㑣ㅣ捡㐶㐳愸敤ㄶ㍣㌷㑣㠴扥づㄳ㠱挱㝢㘵㈲㥣㐴㐶㌰㡡ㅦ㤹〸戱て㘴ㅥ〵㥢㥢〸㡣敤㘵ㄸ㠲愹㔰㙢捡慤挱ㄳ搸㔵づ晤㘳挷㜰昱㔶〶㠸攷㐳㘹〵㌳昰㐸㕤摤㔹扣㘰晡愶戳㔷㤵ㅦ昵㈵㤴㤹扦㠴㥢摣慡ぢ㝢㕣扢㘱㡤敡戴㠱慦㈲昱戲敦昸㔳戶㜶㝦ㅤ㤸㡡㔲攴扥ㄷ㐵㔱㜸ㄹ㥥ㄲ挱㜳㐳敥〳㝢扥㜹昴てて㍦㝥㤸户搵㘲㕡搵㙦㐷扥㤷㤰㍤敤〹〴㜵㔳ㄷ㐵慥攴㠷㌹㈷昱㠹㤲扤㕡㤳搳愶慦慣愰挰㜰㤲㙣㐴㜸㈹挲㡣㠸㙦㍢㤸㤸戸昷㄰㤹㤸ㄳ㙤敥㑥昵㘱㤳㜲ㄱ㑥愴㈶慥㝣㝡㐹搸㔰㜴㔵㘴㍤㕡㥢晡户愱㡡㕥攲㐴㕡慤㐴㥥㍡㤹㠴昸㔶扢慥㍢㐸㕤ㄷㅤ㘴ㄸ昶㑦愴ㄴ攲て愴㤰昴㐱㠶ㄷ〲㤴㤴㍡㡤㡣㝥〷㐰㐶㘴慤㍤挴㑢㝦挰㡥㄰㤰㡤㑢㝦㍤㝥挴㠲㕤〴ㄶㄳ㕦㝣慦㈷㕡摡愲㠹㙡㘲愸㔶搹㌴㡢挸愸挳ぢぢ㈶㤳搲㈵㘴㤲愴ㅦ㐰㙥换敥㈸扥㘴挸㠹〲㙦ㄱ㘳敢づ㝤㙤㈵攷㕥户㡥㥢ㅦ搰㌳〵愵㌰摣摤㉣挶㠱㔴挵攸愲愶愵愸㠸㜰㌸捡㌶㍡つ挴㔵搰㔹敥㕥㥣㑡ㄱ晣攳㤷㐲慣ㅦ㙦づ㝤㘵㝢つ㜵㥣摢㡦〵昲〷晢敢㠶っ挶挶㕢挹㌱㤰戰㕢㙡㔵㡣慥㠷㥦㐱ㄷ㉥㍡㈷㡣㘶㔶㍤㡢㠳昸㤳㜰㔶㥦搶愱晦ㄹ扤㔶㥣㜵㤶扤ㄹ挶㙥搱晦敦㐱挱愶晡㕦㌰昶愶㄰昹摥㌸挳〷㥤昱㤳㑤㐳㌶摣ㄱ㜸戶ㄱ扣㔱〷㘳㐳㘵ㄹ昲㡥㜲㡢昸㜸㌵慡㔶ㄲㅣ㝥慦㝣晢搵㠸㐶㕦摡戶〳㕤〵㈰㘳㐳晡昳㄰㐱㕤晢户捡慤攴㜴㕢㜸ㅦ㍡敥㌹㘹㔷㝣㉦昰慣㜰㙣ㄱ㐱摦㌱㝥㝢㘶挱收㤹ㄲ㕦㙢ㄷ㙡㌷㘳㈷〶ㅦ㐰㥦㔳昳㄰搸愷㘴昸㑡挵㈲ㄹ㔹搸㕡㈴㠳摦㈱㡤愴挲㑢搴づ挱ㄵ搶㝤㜵戳㠶㑦㔷攷攱敢っ㔹戴㉤㤴㕤攴㜱㙥扦愱挱慤挳ㅤ慤㜷挳ㅦ㈴㙢ㄳ〸㡥愹㈵扣敦〱敥㙢晢ㅥ戴戶㡤搷ㄶ戰㘵㙦㍥户㤲晥ㅣ㜰扡戵户戴㤲っ摦挹㉦㤲㑢㐶㤹㄰㤷昶て攳敦搶ㅤ戴ㅣ㙤ㄴ㜴ㅥ㝦搰㑤㐷搸㜸つ敥戳㉤㐴扦捦愱慢㤸㈲挰捦㌰攳っㅦ〴扤㝣㘴㐵昱㘵㉣㡢っ㠰㝣慥㔰〱攸㑥搵捦㙥㐴搵㈳㈷搸ㄳ㐹昰㡣㐱㜲㉣㠹㉦愲㈱户㉢㕡㌶㔸㠲换ㄶ敡㉣㠱扣㤱昴㐰㍥㈷㜸㤶㔰ㄳ昹㍣㍡㌴㈶㘲愳戴晢㐴㍥户搱㐴〴慤〰戵搰昴昸㈳㠹ㄶ㌱㙡愸㌶ㅣ〲㤷挰〳ㄸ㐹㤴挹㌰攵㈳㠵㑥㈱㡡㌱晣㠰㈸㐲晡㔵晣昷挵挳扦㝣㠱改㙦㠷㠵㤲㠸愸㙡㕤〵㈵愲㕡挵㔳改㔵昸㈸敤扥㡡㑦㙥戴㡡ㄱち㑢捥挴〸〱㠶晡㐴ㄹ㝦搴慡敡挸㜰㐳昹ㄳ攷〸昰㙢㤹挵㠸㠹ㄲ搵昷㈲㌲攸换㥤㔷慤㉥㈱㤳昴搵戹ㄱㄹ㕦昹㈸㐳㠹㌷㈲改搴㈹㐴㕥搹㐲愴ㅥ㡢㑥散㡥摤ㄶ㐲〲㑢攲㘷戳㕤㘵㝢愱挷㔰扦㜸㈲㐱捣戱㘳挹㈷㔴㕡ㅣ㝣〲㘱㐴愶㈹〹㠹ㅢ㈹㍥㥡㌴晥捥㜷㥢扥㔳㔴㈰㠱㝡愲挶㈴㌸搵昸㈳㐹攳〳昸㍣㑢戵挹昱㉡〱搳㡢㐹㘳ㄲ愶㙡晣㜸搲昸慦〷昶㌶ㅡ㈷㜴ㄸ㡤慣㤳㐸㌲㡣㕥㜵っ㐸㝤慡㍤㡣收扡㐵㐵㍡㘰㐵挵ㄴ愱㉡㠶㕣㔳慡㜴㄰户㐲㝣㝣㉣㍤㠷㑢㑥戸ぢ〲㘹ㅢ晤㍦ㄳ㡥攳昲搳慣ㄹ㥡昸ㄶ㝡つ㔱㘷摦㔰㑦散㕣戰收㝤ㄴ昴㕢挷〳ㅣ慥慡摢㡡㐴㘰ㄷ攴愳晤摤挴㍢㥦㘱㐳㌶昷㈳㠹㤶㘹扣㑣搲㥢ㄶ㔱ㄱ㤶扣昸㔰㠲搹摣㘳㑤㥡㌱ㅥ〵㜲㈰㈶〱㤹㌱ㅥ〳㡣㈲㌲㝢㔸㌰㐲晥㔷捣晤㈱㔶㝣㤸攰㜱㠰㤲㈰戳㤳づちㅦ〱ㄸ㑥晥㡦ㄵ㘳㙢捡㜱愲㠹㠷㤳㤷愵挹挸㜸㠲ㅤ㍥〶搰〷㍦慥㠸㠹戰㘴㝣ㅣ㈵改㤷㔲㜰愸㤷㍥挹㡡㑦㄰㝣ㄲ愰愴㜳戲㕢摥㌵慥愹㐷ㄵ昶㈹㜴ㄵ㡦ㄱ攰㘷㍣ㄵ㘷昸愰㜳ㅦ摥摥摤㘸收㤹㌸昹挲ㅦ㌱捦㤶㑦昹敦挵愷昹敢㕣㜴ㅦ晥捦㈴扡戲昰昳摡摢㝡ㅢ㡢㑣㐰攳㕣晤㔶戱搹㉦㘳ㅣ慥慢ㄹ㑡攱㠸㔴㉡㐵慤㈰㠸㙦㉥㔸㜸㜸〳摦㜲㐸㔵〸㐱ㅡ㔰ㄵ㙥㕣㜱ㄸ〵挶愷搹㤴㌸㈶㥥㡣捦昰㠹愸㔵㥢昸搹㌸挳〷㐱扣慡敥て挶摤㤳ㄷㄲ搷慡挲㙥㝢㈱昱慦㉡㔶搲㉦㝣㠶㠳㈹㘴㈱搳慡㤵㠸㌴㐵㐳㕦㐴㘶愸㙦㤸㜳扢ㅦ㍦敤㤲愸㥣慢㥥㍢昷捦攱晣搸戵昹昷扣㙢昰㤹ㄷ㝦昱挷愷㝦昳晥㐳㝦昹搷戳捦晥收㑦㑦扦昰慦ㅦ㉦ㅦ晡搹㜳捦晤昴挴㔷㕥昸攳㙥敢慢摡㜷晦㌹昷搵㐷㈶㉦㍣昲㤰㜵收昶愳㡦扣昷挱晢㈶ㄷ慥ㄸ敦敢敢敦扦㙤昴攷搷扣㜱攴戱㠷扥㉦㝥昲扢慢㕤愱㤶㡢ㄷ戴㑥㠳换㔶搳昸ㄲ㌲㤸〶㘷晣慡㑥㠳换㔵ㅢ戵ㅣ㙦搴㌴ち㡡㜰㙥㜰〲慡挲㙣慤ㄸ昸てㄲち戳㈹</t>
  </si>
  <si>
    <t>e2ac9a74-d9e5-4c90-ad7d-49a199e4a6a1</t>
  </si>
  <si>
    <t>258201f8-e81b-4b47-a8f2-c384b3adf398</t>
  </si>
  <si>
    <t>㜸〱敤㕣㔹㙣㈴㐷ㄹ㥥㙡㑦㡦愷挷昶摡㔹㙦㡥つ㈱㜱〸㈱㠷ㄷ㘷扤挹ㄲㄲ㔸ㄶㅦ搹㈳㜸搷捥摡扢〱〵㌴摢㥥愹㕥㜷㜶扡摢改敥昱摡㈱㔲㈲〸㤷㈰㈰㜱㠹㐰㌸ㄴづ㠹ㄷ㡥ㄷ〸挷ぢㄲㄲ〸〵㠹〷㜸㐰攲㈱㈰〴て㈰戴ㄲ㐲攲〱〹扥慦扡㝢愶㘷挶搳㜶㈶〹㌸挸戵㤹摦搵㜵㜵㔵晤㘷晤㝦㜵㜲㈲㤷换晤ㅢ㠹㝦㤹昲捣㕣户戸ㄱ㠴搲㤹㤸昱㙡㌵㔹〹㙤捦つ㈶愶㝣摦摣㤸戳㠳戰てつち㘵ㅢ昵㠱㕥づ散㐷㘵戱扣㈶晤〰㡤昴㕣慥㔸㌴㌴搴㜳㄰晥㐶㤲〷㠳扤〶昳〰㑢㌳搳昳换て㘳搴挵搰昳攵㠱戱㜳㔱摦㈳㤳㤳ㄳ㤳ㄳ㠷敥㌹昴愶㠹㠳〷挶㘶敡戵戰敥换㈳慥慣㠷扥㔹㍢㌰戶㔰㕦慥搹㤵㜷挸㡤㈵敦愲㜴㡦挸攵㠳㜷㉥㥢㜷扤㜹昲慥挳㠷慤㝢敥㜹昳㈰㕥㥤㍢㍤㌳扤攰㑢㉢㜸㤹挶搴㌹攵扢㘶㘵挵收摡愴昴㙤昷挲挴捣㌴晥㑢捤ㅦ㑦㜷㑦㉣慥㐸ㄹ昲搵搲㤷㙥㐵〶〶㍡づ㌸㔳㐱㔰㜷㔶戹㜹㠶㜳っ㑢慤㤸㐱愸㍢㌳戲㔶㌳㥣㘴搴愲㌳㡦扤慢㤹ㅢ㠳捥愲㜴〳㍢戴搷散㜰愳攰㉣㘱愰敡㤰㜳㌶㤰㘷㑣昷㠲㍣㙤㍡㔲㜷㡥搷敤㙡㍥㑡戹扥㕢㤲㈱搲ㄳ㔳换㥦㤸ち㥣㤹ㄵ搳㔷㌳ち戸㌱ㄹ㙤㡦昹㤵搶戶㌷㜵ㅦ㤷㔳㔷㙦攰㤸㌷㜷㙦㠷㥡㜳愶摦㘸㌹摥扤㘵扣昸搶ㄹ摣搱扤㝤㙡㡦㕡晢摣搶扤㡦摡捡搶搶㘲㈰愶㙦戵愳㔸㡣㔱㈰攸㈷㈸ㄲ㄰㠱㐶㠹㘰㠰㘰㄰㐰攴晦づ㉥㐹㜷㘴㤵㔶㌶戵昲戲㔶慥㘸攵慡㔶㤶㕡搹搲捡ㄷ戴昲㡡㔶戶戵昲挳㕡昹㈲摡㈴愹搸摦慦挵改改户㥤㝢㘸晤戶㤹攳㍦扣攳摥慦晥㈳㝦敥敢㠳㝢搰攸㠱㜸㔲戳扥㜹〹愴搶愴攲㐳ㄳ〷昹㙦㙢慥〰㔳㔸㠷慤扢慤挹挹敡攱㠳收㥤愶捥㘵㘵㈰扦㠵㔰㐶搰㜶搰㝡搰㜶慢摥㈵㠵扢敢愶捤㐰㌶㌷㙥㍣慥㥢昶敡㙥㌵㜸捤收㤵㡢愱ㄹ捡㙢摢敢㥡㠳㜴㜴㕢〴㕢挹㐰扤敦晡昶㙥攷捣㕡㕤㑥慤摢㔱昵㙢摢慡㥤〵摦㕢敥㕥㝢捣㤷㡦㌴㙡㍢㘶㌴〵愱戶愶挶敥㔸㘵㔴ㄵ捤㙢㙣㘶挵ぢ愴慢愶㌷敥㉣搸㤵㡢搲㕦㤴ㄴ㠹戲慡㤶㝡㈵慢㘲慥ㅦ㥦㜷戱㔰㜰㙢昵㜵改㔲敢扥昵㄰捣㉣慢㤸敦慡昴挳㡤㈵㜳戹㈶慦㙡㘹ㄲ扤ㄳㄵ晢㕢㡡㡦㜹㤵㝡㌰攳戹愱敦搵㕡㙢愶慡㙢㈶㈴㑤昵㤴㔷㤵昹㝣㑥〹〵〸摣扥㍥㈱㜲户㜷攷〵㠵㠸ㄴ㡡挹挸搷戴㤲摤挴ㄹ慣づ慢愸㐹搲愴昶晡㉤〶攳㝣㤵㡣挹攰挰搴㥡愸㍦昸搲㕢户ㄸ戶㠱戹㔷戶戱愶㡤挶慢扦㙦㑤扡攱〹搳慤搶愴㥦愹晤〴㘷㘴っ〳攸㤷㈱㄰扡敥ㅥ㔵㥤㔸ㄷㅢ晡㈵扢ㅡ慥ㄴ㔶愴㝤㘱㈵㐴ㄹ㌴㘴戱挸慤敤㐸挶ㄵ㈸㌲昶ㄲ㡣〲㤴㑡戹挲㍥㌶㉡㤴㤰㜲㍡愵㔳〶㉦户〸㜲昶㙢攱攵㐱敢㤸㕤ぢ㘵㈴㤴㠷㉤㘰㈴搲㙡ち㝤㐳㈴㔱摦慣㐴ち㘳㥦㌵〳㉡㌵㙤㌷摣㘸昲㙤〷㤷㐴㐴戴㉢ぢ㜶㥣㉣愰㈸㘸㤵〷ㄹ扣〶愲㘹㤳〶搹㡤㔳㐴㐴㌶挸搰散ㄸ戹㤵挸搸㍥㐳㐶愰㝤㥡〸搹晡㘰㜷ㄹ㐱㘲敦㈴㔲㜶敡捡㡦扢搲㙣㌳㕢㍥㤲㘶㔷㘲攳㡣慢〸慥㈶戸㠶㘰㍦㠰昸ㄳ㈴ㅣ愵ㅣ昲慤挹㜸つ㥥㡤敢〸㕥ぢ〰昹㘴㔰收挴愲㡡㌶搴㜶散㐸戶ㅢ㠲㥤慣㡣攲㐸ㄴ搱㌲㙥搸㤹㐳㡥㐲㜴㙣㜵敥っ㕤㥢㔷㍡昶つ摤㘹㌳扤ㅣ㔲㘴㐶搳昴㕡户㘸㥡摥〸㌶敤㔱㙦摤㠰慥挶ㄸ挱㡤〰㈵攳㜵㠴㔰㉥㌴㜸户㘷搱搳愴㝣㔵㤸㐵㤱㌱搴愳㠲㡦〹㤹㐷㠰っ㈱搷㜱㝣搹戵愱㘹づ㡥㕢慦㝡ㅢ晡㐰㜷晥㡥㤱摥愶㌷㜷昵づ晤㐵㉦搲㡡扥〹散㈵㝥搷㔵挷摣㡣㙡攳つ〴户〰戴改ㄸ㥥扥㕦慣愷㐰㤹挵㑥ち㜳㝢改㜵㔱㔶敥搲挶慡㔴ㅡ㘸搰㕡㌲晤ぢ㌲㠴〷攳攴㉣㙣㘱捦昷㘵つ㠷摡慡㉡攰昹攵敡搶挲攰㤸敦㌹㉣摦戵㤱㠳㔷㠵㘲挸攷戵扥㕣㥢㡤㥣㘱㙢愶㝣㑥㈹捡愱づ扥戳扢㤰㐸㜵㙡㈵㉦昶换㍥㕦敥㑡㤲ㅥ㈴挹㙤搸㔶攳㜶〰㐸〹昱㥢慥ㄲ攵〰㥢扤㔱㌵㙢戵㔸改攱换㌸㥤戴昹㄰㍢攴挸㐰攴戰㥤㠶晦㈰ㄸ㜲ㄶ㙤愷㈱㉣〶㥣〵改㔷攰㕢戰㙢戲ㄴ戹㘵㈹㙡㜶㘵挵慢㐴㔶昴昵㜵㥣愷㌳晣㙢㡡㑥摡愴㐴㈶户㘷㔶㘶㥣挵㥢㐴㐵㌷㈴㠵㑡㠶㙢愸㈱㠱㐸㜹㙣扢㉢㘲㝡㄰㌱㜷㘰攳㡣㠳〴㤳〴㠷〰昴㕦㐲搲㙣㜷攳ㄹづ敢㕦愳㑢扢㕣捥ㄵ㠹〶攵㈲㝣扥慢戰㍡捣搷扣㠹攰㙥㠰㌶昳㠷づ挸っ㐲㔴㈸㑦ㄱ愲ち㘳㔸攷㙣㜹㠹㌴戰挷㐲㘰㘹愶ㅥ㠴㥥挳挸搲㤰㌵敢㥤昶挲㔹㍢㔸㐵㈴㙡搴㡡㌳て慥㐸ㄷ搴攵挳昶㘹㉢昳㔶㔷㘵搵戰ㄶ扤㍡㐴摢挹搹㥤㜰㌰挷㜶挰㤶㔴㘷㜳㑤㈰昵㜶㍥挶㄰〲㍢慤晣慤昴挶㙥换晢捤㐳摦㜰㜳㐷㤷散戰㈶〷慣㠸改㤸㉦㕡搸㐵㐴づ慡晤搶搲㡡㉦攵散㤰㜵摣户慢㌵摢㤵㐴〶㙣㑣〶敢收攴〵㐴〹ㄶ㍣挶〰㍤㜷挸㕡昲㑤㌷㔸㌵ㄹ㔰摣搸摢昲愴挲㈲扡㌵㙤扢〱㕥愳戰挸晣戰戵戸攲㕤㐲挴戶敥戸挷捤搵㘰㐷㘰㠵㐴ㅦ㈵㠵ㅡ愱〹㑤ㄳ㐵慤搸㉢㝥㜸㈰捦攵挸㝢㜹〲㠵慢㥣㑥㥦㜹㠶昶愶㕤ㅦ挷㘸㘸愷㜳㑥㠳㠸ㅥ㌵ち晢㌲愵㌰㌹搵戸㠷㝤敥〵戸晦昸搹㤳捤挸摣㑢㡡㔹敢昴昲㘷挸㜸㐵ㄶ㡤㐰〸㝤㜴㝢㈲㔲㘱ㄹ㈹〷ㅣ〸㡣昳愹㥤晣㑡㤶㙡㐳敡摢搳捣ㅥ㐳㈴㘹搰㥡㌳㤷㘵つ昱㘸挷っ昷㐴て㌴㘳ㅤ戳ㄶ挴㜵㌳㥥攳㤸㈴㉤㤲攵㘲挵㈴〵㑦搵㐳敦㤴敤ㅡㄶ㠰愲扦戸挸㕣㐷㤱戹慥㡡〶慤㌳っつ慡㍣挷昲㉥㤸扥ㅤ慥㌸㜶愵挸〷㠶敦㜶〴㑤㠲挹㈹㜹㤳㤴挸㡣戱㌶㙢晥㉣㑣戶㘰〲攸㥥㠰ㅣ攵搶ㄱ晤愰㕣㑤ㄴ昰㑦昴攸㔸㠲㠰㔱㥥㔲攳慤ㄸ㑤㔷户㈳㈰㜲㔴扡㥣摣挱戸晣㌸㑡㈲㈱㐴慣㘷㤰〸扣㠲㈹㈱㑦ㄷ㜷挱㍡敢摡㈱戰㐷㡣ㅤ戳挳搹〰㈸〷㐰㔶ㅤ㙦慦㔵㔸㑤㜵ㅡ㙦㘸㠵ㅢ㍡慢㕡搴挴昵㥤昵㘹扤昱晡㑤慡㈳㡤㤲㔲㈴㕢㌵㔲㥡㘵㤳㌹敥㈴㔵㈳㤴攲㑥戴㡤挸㜲㥢㌶昷㥤㔲攴㈵㈸㈶㐵㌳㌹攳㙤㡡㔰㄰攸㡤㜵ㄴ㝤昶搹攴㤱㡡搸搰〶㈸㔱㑦㐵㘵㐳㜱㐸昰㈴慥㥤㔴㘵㈹㝥〲㝦敦㠹戳昳昵戰愵挶㕣ㅦ㡤㙢愶㙡戵㜹ㄷ㔶㐲挵昴慢㍢㠴愵戱戶㐸挳㈸敥散㔵晢㐷摢㥢㘲挴㤸つㄹㄶ挹昰〳㠳つ挱㕣愹㠸㉡慤戳㈱㙥㜵愳戸挸愷㔳搲㜴ㄵ〶ㄶ挳敡慣㕣㔳㘶㔸搳㤲ㅦ㔵ㅤㅡ愷㐵㈵㐷つ㙢㙡㌹㠰㑡て㈹挷攳㥣㘲㜰挳㍡㐳户ㄴ㉥㌱㐰散挶戹㠵㑡㠸搰㙥㘳〰㥥っ㜶づ㜶戰㈳㔱攸㠴搶ㄹ㈵㘸㈱㠳㜰㕢ㄷ㐱摥改ㄱ愳㄰愴㤶㑡㝦㍢㉡㍥晦㌴搳㌷㡦收㤲㑣捣㐴っ㜷㘵㔸て㐰㙥㍡㌲㐹㉥ㅡ㑤〲收㤱㘴㔳㐲㙢㌰㈹愳㠹㌱㐴㤳捦て㜱㡢㠷戱慣㘱戲㑤つ昷摣㐲ㅢ摡戴戶戱挷㍡改㔶㙡昵慡㔴慡㌸㤱搵㑡㈳敦〸㝣愹㉢㠰ㄱ㌷㘵散㑢扣㈹㈷㜱㤴攲㤲㠹愴摥敤㙥攳㈸扡㉢㈱㠷㌱㈲搵挷〰㘴㠶㕢㑥〵挴㍡敥㈹搰㍥摣摢扣挰愰㉥捦㐱愴㜵ㄴ㔱㤶捤攱㍥㕥㈳㡡慣戸㉤搵㙣捥㥢昳㘸戳愷㡡㑥搸㔱搱㡥挰ㄱ搶ㄹ〹扣㐲〱挶㐸㡦摣挱㐱㜲㤷攳攸敥攵挷搵㘳敥㌲㔰愱㌰㈰ㄸ攳攵㈹㈸㠷㕤〵㈳搱攰搶㥡㔶户㘰昴㤷㤶户㌱〵㈰ㄸ〶愶㐱㡢㤶㤱㠱㌳㠳晣搶〶捥つ㘸㤵ㄱ㈱㑤〷㔳ㄹ愳ㅣ㠵挳ㅥ㐸〳㌷昱㈰扤攴㐱〹㠵晢搴挵戰攴㙥攲戸㠳㈳㤰攷㕦搵㔶戸㘰㠶戸晥攲敥㙦㉢㥥慡㔶㘹敥挲㍦户㈳戰㡡慢ㅢ㤱㌹扡慦敤㔲㤶㕡ㄳ敤扢㥢摡㉡攲换㠲㠷㘶㈷㑥㤸㘱㘵㘵㌱摣㠸㉥㙥昵㑡ㄲ晡㡦攱㡦搸昴敤戴㤹昳㉥㉦愲慥㜱敦㑢ㄷ㕤敦㤲慢收愵〷扣昵〷ち挱ㄵ捡㝥㑥戲㤴晢㌷晥愹愴攵昴ㅦ㘱挴敤㑣㥢〳㌴ㅤ㈴ㅣ㐷愵㐸ㅡ㡣㈱㥦㐱㈷戰摤ㅢ户〶㐸㈷晢摡攸㐴〹㠲㕤㐲㜱㉦扣㙣㠴㈲㝥〸戴㤲㔸愲㈳㌹昶晣ㅢ㘰㝤昱〳㤴㄰攱㜸㡥挵㠸㝥㈳㜲ㄹ愸㔳㠲㍣扥攲挱ぢ㈱晦㍦㔸㑡戸㜹㔳㜶晡㉦㌰戳㜸慥ㅤ㐵搷ㄳ㐵摦敦㐰㤱攰㌵㄰挵扦昷㈳㤳㈴㥤攱搹ㄷㄵ〸攷㥡㜶て愰慦昸㠵摦晦攱〱㜴㉥㈶づ㘵愳㈱搴㜶㌳㥥ㅢ㈶㐲㕦㠷㠹挰攰扤㌲ㄱ㑥㈱㈳ㄸ挵㡦㑣㠴搸〷㌲㡦㠲慤㑤〴挶昶㌲っ挱㔴愸㌵攵搶攰〹散㉡㠷晥戱ㄳ戸㜸㉢〳挴昳愱戴㠲ㄹ㜸愴慥敥㉣㕥㌰㝤搳搹慦捡㡦晢ㄲ捡捣㕦挲㑤㙥搵㠵㍤慥摤戴㐶㜵摡挴㔷㤱㜸搹㜷晤㈹摢扢扦づ㑣㐵㈹㜲摦㡢愲㈸扣〴㑦㠹攰戹㈱昷摥㝤摦㍡晥晢㐷㥦㍣捡摢㙡㌱慤敡户㈳摦㑢挸㥥昶〴㠲扡愹㡢㈲㔷昲挳㥣㔳昸㐴挹㕥慤挹㘹搳㔷㔶㔰㘰㌸㐹㌶㈲扣ㄴ㘱㐶挴户ㄳ㑣㑣摣㝢㠸㑣捣㠹㌶㜷愷晡戰㐹戹〸㈷㔲ㄳ㔷㍥扤㈴㙣㈸扡㉡戲ㅥ慤㑤晤㍢㔰㐵㉦㜲㈲慤㔶㈲㑦㥤㑣㐲㝣扢㕤搷ㅤ愶慥㡢づ㌲っ晢㈷㔲ち昱〷㔲㐸晡㈰挳ぢ〱㑡㑡㥤㐱㐶扦〳㈰㈳戲搶ㅥ攲愵㍦㘰㔷〸挸挶愵扦ㅥ㍦㘲挱㉥〲㡢㠹㉦扥搷ㄳ㉤㙤搱㐴㌵㌱㔴慢㙣㥡㐵㘴搴攱㠵〵㤳㐹改ㄲ㌲㐹搲て㈱户㙤㜷ㄴ㕦㌲攴㐴㠱户㠸戱㜵㠷扥戶㤲㜳㥦㕢挷捤て攸㤹㠲㔲ㄸ敥㕥ㄶ攳㐰慡㘲㜴㔱搳㔲㔴㐴㌸ㅣ㘵ㅢ㥤〶攲㉡攸㉣㜷㍦㑥愵〸晥昱㑢㈱搶㡦㌷㠷扥戲扤㠶㍡捥敤挷〲昹㠳晤㜵㝤〶㘳攳慤攴ㄸ㐸搸㙤戵㉡㐶搷挳捦愲ぢㄷ㥤ㄳ㐶㌳慢㥥挵㘱晣㐹㌸慢㑦敢搰晦㡣㕥㉢捥㍡挷摥っ㘳户攸晦㜷愲㘰㑢晤㉦ㄸ㝢㔳㠸㝣㔷㥣攱㠳捥昸挹㤶㈱ㅢ敥〸㍣摢〸摥愸㠳戱愱戲っ㜹㐷戹㐵㝣扣ㅡ㔵㉢〹づ扦㔷扥晤㙡㐴愳㉦㙤摢㠱慥〲㤰戱㈱晤ㅢ㄰㐱㕤晢户捡慤攴㜴㕢㜸〸ㅤ昷㥤戲㉢扥ㄷ㜸㔶㌸戶㠸愰敦ㄸ扦㍤戳㘰昳㑣㠹慦戵ぢ戵㥢戰ㄳ㠳敦㐱㥦搳昳㄰搸愷㘵昸㜲挵㈲ㄹ㔹搸㕥㈴㠳摦㈱㡤愴挲㑢搴づ挱ㄵ搶〳㜵戳㠶㑦㔷攷攱敢っ㔹戴㈳㤴㕤攴㜱㙥扦愱挱慤挳ㅤ慤㜷挰ㅦ㈴㙢ㄳ〸㡥愹㈵㍣昴ㅥ敥㙢晢ㅥ戴戶㡤搷ㄶ戰㘵㙦㍥户㤲晥㉣㜰扡扤户戴㤲っ摦挹㉦㤲㑢㐶㤹㄰㤷昶㡦攲敦昶ㅤ戴ㅣ㙤ㄴ㜴ㅥ㝦搰㑤㐷搸㜸つ敥戳㙤㐴扦捦愳慢㤸㈲挰捦㌰攳っㅦ〴扤㝣㘴㐵昱㈵㉣㡢っ㠰㝣慥㔰〱攸㑥搵捦㙣㐶搵㈳昷戳㈷㤲攰ㄹ㠳攴㔸ㄲ㕦㐰㐳㙥㔷戴㙣戰〴㤷㉤搴㔹〲㜹㈳改㠱㝣㑥昰㉣愱㈶昲㌹㜴㘸㑣挴㐶㘹昷㠹㝣㜶戳㠹〸㕡〱㙡愱改昱㐷ㄲ㉤㘲搴㔰㙤㌸〴㉥㠱〷㌰㤲㈸㤳㘱捡㐷ち㥤㐲ㄴ㘳昸〱㔱㠴昴慢昸敦ぢ㐷㝦昹㍣搳㕦㡦ち㈵ㄱ㔱搵扡ち㑡㐴戵㡡㑦愴㔷攱愳戴晢㉡㥥摡㙣ㄵ㈳ㄴ㤶㥣㠹ㄱ〲っ昵㠹㌲晥愸㔵搵㤱攱㠶昲㈷捥ㄳ攰搷㌲㡢ㄱㄳ㈵慡敦㈵㘴搰㤷㍢慦㕡慤㈳㤳昴搵戹ㄱㄹ㕦昹㈸㐳㠹㌷㈲改搴㈹㐴㕥搹㐲愴ㅥ㡢㑥散㡥摤ㄱ㐲〲㑢攲㘷戳㕤㘵㝢愱挷㔰扦昸㔰㠲㤸ㄳ㈷㤲㑦愸戴㌸昸〴挲㠸㑣㔳ㄲㄲ㌷㔲㝣㌰㘹晣摤敦㌵㝤愷愸㐰〲昵㐴㡤㐹㜰慡昱〷㤲挶㠷昰㜹㤶㙡㤳攳㔵〲愶ㄷ㤲挶㈴㑣搵昸挹愴昱㕦づ敤㙦㌴㑥攸㌰ㅡ㔹㈷㤱㘴ㄸ扤敡ㄸ㤰晡㔴㝢ㄸ捤㜵㡢㡡㜴挰㡡㡡㈹㐲㔵っ戹愶㔴改㈰㙥㠵昸昸㔸㝡づ㤷㥣㜰ㄷ〴搲㌶晡㝦㈶㥣挴攵愷㔹㌳㌴昱㉤昴ㅡ愲捥扥愱㥥搸戹㘰捤晢㈸攸户㑥〶㌸㕣㔵㜷ㄴ㠹挰㉥挸㐷晢扢㠵㜷㍥挳㠶㙣敥㐷ㄲ㉤搳㜸㤹愴㌷㉤愲㈲㉣㜹昱扥〴戳戹㈷㥡㌴㘳㍣づ攴㐰㑣〲㌲㘳㍣〱ㄸ㐵㘴昶戱㘰㠴晣慦㤸晢㝤慣㜸㍦挱㤳〰㈵㐱㘶㈷ㅤㄴ㍥〰㌰㥣晣ㅦ㉢挶搶㤴攳㐴ㄳ㡦㈶㉦㑢㤳㤱昱㈱㜶昸㌰㐰ㅦ晣戸㈲㈶挲㤲昱ㄱ㤴愴㕦㑡挱愱㕥晡㔱㔶㝣㡣攰㈹㠰㤲捥挹㙥㝢搷戸愶ㅥ㔵搸挷搱㔵㍣㐱㠰㥦昱㠹㌸挳〷㥤晢昰㤶敥㐶㌳捦挴挹ㄷ晥㠸㜹戶㝣捡㝦ㅦ㍥捤摦攰愲晢昰㝦㈶搱㤵㠵㥦搷敥敤㙤㉣㌲〱㡤㜳昵㕢挵㘶扦㠴㜱戸慥㘶㈸㠵㈳㔲愹ㄴ戵㠲㈰扥戹㘰攱攱つ㝣换ㄱ㔵㈱〴㘹㐰㔵戸㜱挵㔱ㄴㄸ㥦㘲㔳攲㤸㜸㌲㍥捤㈷愲㔶㙤攲㘷攲っㅦ〴昱慡扡㍦ㅣ㜷㑦㕥㐸㕣慢ち扢敤㠵挴扦慡㔸㐹扦昰㘹づ愶㤰㠵㑣慢㔶㈲搲ㄴつ㝤〱㤹愱扥㘱捥敤㐱晣戴㜵㔱㌹㕦㍤㝦晥㥦挳昹戱㙢昳敦㝣晢攰搳㉦晣攲て㥦晣昵扢㡦晣昹㕦捦㍣昳敢㍦㝥昲昹㝦晤㜸昹挸捦㥥㝤昶愷昷㝦昹昹㍦散戵扥愲㝤敦㥦㜳㕦㜹㙣昲攲㘳㡦㔸㘷㙦㍦晥搸扢ㅥ㝥㘰㜲攱㡡昱扥扥晥晥㕢㐶㝦㝥捤慤㈳㑦㍣昲㥣昸挹㙦慦㜶㠵㕡㉥㕥搰㍡つ㉥㕢㑤攳㡢挸㘰ㅡ㥣昱㉢㍡つ㉥㔷㙤搴㜲扣㔱搳㈸㈸挲戹挱〹愸ち戳戵㘲攰㍦昶扥戲㉡</t>
  </si>
  <si>
    <t>StartOptEquations</t>
  </si>
  <si>
    <t>CB_Block_7.4.0.0:1</t>
  </si>
  <si>
    <t>Decisioneering:7.4.0.0</t>
  </si>
  <si>
    <t>roczny koszt kapitału inwestora:</t>
  </si>
  <si>
    <t>Struktura kosztów budynku:</t>
  </si>
  <si>
    <t>wykończenie</t>
  </si>
  <si>
    <t>wyposażenie</t>
  </si>
  <si>
    <t>konstrukcja (kwota stała 26 500 000,00 pln)</t>
  </si>
  <si>
    <t>w pozostałej kwocie kosztów budowy,</t>
  </si>
  <si>
    <t>wyposażenie stanowi:</t>
  </si>
  <si>
    <t>wykończenie stanowi:</t>
  </si>
  <si>
    <t>Razem koszty budowy:</t>
  </si>
  <si>
    <t>w tym konstrukcja:</t>
  </si>
  <si>
    <t>na wykończenie i wypozażenie pozostaje:</t>
  </si>
  <si>
    <t xml:space="preserve">Q[3](x) = </t>
  </si>
  <si>
    <t>㜸〱敤㕣㕢㙣ㅣ㔷ㄹ摥㌳摥㔹敦慣敤搸㡤搳㑢㑡㘹摤㤶㔲愸㠳ㅢ愷つ愵㐰〸扥㌴㤷攲挴㙥散愴慤愰摡㡣㜷捦挴搳散捣戸㌳戳㑥㕣㉡戵㠲㤶㡢戸㐹攵㈲ち攵愲ち㈱昱挲攵〵㕡攰〵〹〹㠴㕡〹愴昶〱㠹㠷㠲㄰㍣㠰㔰㈴㕥晡㠰〴摦㜷㘶㘶㜷㜶搷㍢㜶户㉤戸挸㈷摤摦㘷捥㙤捥㌹晦昵晣晦㤹收㐴㉥㤷晢㌷ㄲ晦㌲攵㤹戹㘶㜱㍤〸愵㌳㌱攳搵㙡戲ㄲ摡㥥ㅢ㑣㑣昹扥戹㍥㘷〷㘱ㅦㅡㄴ捡㌶敡〳扤ㅣ搸て换㘲㜹㑤晡〱ㅡ改戹㕣戱㘸㘸愸攷㈰晣㡤㈴て〶㝢つ收〱㤶㘶愶攷㤷ㅦ挴愸㡢愱攷换㝤㘳㘷愲扥㠷㈶㈷㈷㈶㈷づ摣㜹攰摤ㄳ晢昷㡤捤搴㙢㘱摤㤷㠷㕣㔹て㝤戳戶㙦㙣愱扥㕣戳㉢ㅦ㤲敢㑢摥㜹改ㅥ㤲换晢㙦㕢㌶㙦㝦捦攴敤〷て㕡㜷摥昹㥥㐱扣㍡㜷㜲㘶㝡挱㤷㔶昰㍡㡤愹㜳捡户捦捡㡡捤戵㐹改摢敥戹㠹㤹㘹晣㤷㥡㍦㥥敥㤸㔸㕣㤱㌲攴慢愵㉦摤㡡っっ㜴ㅣ㜰愶㠲愰敥慣㜲昳っ攷〸㤶㕡㌱㠳㔰㜷㘶㘴慤㘶㌸挹愸㐵㘷ㅥ㝢㔷㌳搷〷㥤㐵改〶㜶㘸慦搹攱㝡挱㔹挲㐰搵㈱攷㜴㈰㑦㤹敥㌹㜹搲㜴愴敥ㅣ慤摢搵㝣㤴㜲㝤㌷㈷㐳愴㈷愶㤶㍦㌱ㄵ㌸㌳㉢愶慦㘶ㄴ㜰㘳㌲摡ㅥ昱㉢慤㙤㙦散㍥㉥愷慥摥挰㌱㙦敡摥づ㌵㘷㑣扦搱㜲扣㝢换㜸昱慤㌳戸戵㝢晢搴ㅥ戵昶㜹㘷昷㍥㙡㉢㕢㕢㡢㠱㤸扥搵㡥㘲㌱㐶㠱愰㥦愰㐸㐰〴ㅡ㈵㠲〱㠲㐱〰㤱晦㈷戸㈴摤㤱㔵㕡搹搴捡换㕡戹愲㤵慢㕡㔹㙡㘵㑢㉢㥦搳捡㉢㕡搹搶捡て㙡攵昳㘸㤳愴㘲㝦扦ㄶ愷挱㡦㝥昰愵ㅦ晤攲㜷㈷㝦昲挲捤搷晦攰戶㑢ㄷ〶㜷愱搱㍤昱愴㘶㝤昳〲㐸慤㐹挵〷㈶昶昳摦收㕣〱愶戰づ㕡㜷㔸㤳㤳搵㠳晢捤摢㑣㥤换捡㐰㝥ぢ愱㡣愰敤愰㜵慦敤㔶扤ぢち㜷搷㑣㥢㠱㙣㙥摣㜸㕣㌷敤搵摤㙡昰㤶㡤㉢ㄷ㐳㌳㤴㔷户搷㌵〷改攸戶〸戶㤲㠱㝡摦戵敤摤捥㤸戵扡㥣扡㘸㐷搵㙦㙤慢㜶ㄶ㝣㙦戹㝢敤ㄱ㕦㍥搴愸敤㤸搱ㄴ㠴摡㥡ㅡ扢㘳㤵㔱㔵㌴慦戱㤹ㄵ㉦㤰慥㥡摥戸戳㘰㔷捥㑢㝦㔱㔲㈴捡慡㕡敡攵慣㡡戹㝥㝣摥挵㐲挱慤搵ㅢ搲愵搶㕤ㄷ㐳㌰戳慣㘲扥慢搲て搷㤷捣攵㥡扣愲愵㐹昴㑥㔴散㙤㈹㍥攲㔵敡挱㡣攷㠶扥㔷㙢慤㤹慡慥㤹㤰㌴搵ㄳ㕥㔵收昳㌹㈵ㄴ㈰㜰晢晡㠴挸摤搲㥤ㄷㄴ㈲㔲㈸㈶㈳㕦搵㑡㜶ㄳ愷戰㍡慣愲㈶㐹㤳摡摢㌶ㄹ㡣昳㔵㌲㈶㠳〳㔳㙢愲晥攰㑢摦戱挹戰つ捣扤戱㡤㌵㙤㌴㕥晤㕤㙢搲つ㡦㤹㙥戵㈶晤㑣敤㈷㌸㈳㘳ㄸ㐰扦〴㠱搰㜵昷愸敡挴㐵戱慥㕦戰慢攱㑡㘱㐵摡攷㔶㐲㤴㐱㐳ㄶ㡢摣摡㡥㘴㕣㠶㈲㘳㌷挱㈸㐰愹㤴㉢散㘱愳㐲〹㈹愷㔳㍡㘵昰㜲㡢㈰㘷扦ㄶ㕥ㅥ戴㡥搸戵㔰㐶㐲㜹搸〲㐶㈲慤愶搰㌷㐴ㄲ昵捤㑡愴㌰昶㔸㌳愰㔲搳㜶挳昵㈶摦㜶㜰㐹㐴㐴㍢戲㘰摢挹〲㡡㠲㔶㜹㤰挱㙢㈰㥡㌶㘹㤰摤㌸㐵㐴㘴㠳っ捤㡥㤱㕢㠹㡣敤㌳㘴〴摡愷㠹㤰慤昷㜷㤷ㄱ㈴昶㑥㈲㘵愷慥晣戸㈳捤㌶戲攵㈳㘹㜶㌹㌶捥戸㠲攰㑡㠲慢〸昶〲㠸扦㐰挲㔱捡㈱摦㥡㡣户攰搹戸㠶攰慤〰㤰㑦〶㘵㑥㉣慡㘸㐳㙤挵㡥㘴扢㈱搸挹捡㈸㡥㐴ㄱ㉤攳㠶㥤㌹攴㈸㐴挷㔶攷昶搰戵㜹愵㘳摦摥㥤㌶搳换㈱㐵㘶㌴㑤慦㜵㤳愶改㡤㘰搳ㅥ昵搶㜵攸㙡㡣ㄱ㕣て㔰㌲㙥㈰㠴㜲愱挱扢㌵㡢㥥㈶攵㥢挲㉣㡡㡣愱ㅥㄵ㝣㑣挸㍣〲㘴〸戹㡥攳换㡥つ㑤㜳㜰摣㝡搳摢搰晢扡昳㜷㡣昴㌶扤戹愳㜷攸㉦㝡㤵㔶昴㡤㘰㉦昱㠷慥㍡收㈶㔴ㅢ㙦㈷戸ㄹ愰㑤挷昰昴晤㙡㍤〵捡㉣㜶㔲㤸摢㑤慦㡢戲㜲㤷搶㔷愵搲㐰㠳搶㤲改㥦㤳㈱㍣ㄸ挷㘷㘱ぢ㝢扥㉦㙢㌸搴㔶㔵〱捦㉦㔷戶ㄶ〶㐷㝣捦㘱昹㡥㡤ㅣ扣㈹ㄴ㐳㍥慦昵攵摡㙣攴っ㕢㌳攵㜳㑡㔱づ㜵昰㙤摤㠵㐴慡㔳㉢㜹戱㕦昶昹㜲㐷㤲昴㈰㐹摥㠹㙤㌵㙥〱㠰㤴㄰㉦㜵㤵㈸晢搸散㕤慡㔹慢挵㑡て㕦挶改愴捤㠷搸㈱㐷〶㈲㠷敤㌴晣〷挱㤰戳㘸㍢つ㘱㌱攰㉣㐸扦〲摦㠲㕤㤳愵挸㉤㑢㔱戳㈳㉢摥㈴戲愲慦慦攳㍣㥤攱㕦㔳㜴搲㈶㈵㌲戹㍤戳㌲攳㉣摥㈴㉡扡㈱㈹㔴㌲㕣㐳つ〹㐴捡㘳摢ㅤㄱ搳㠳㠸戹ㄵㅢ㘷散㈷㤸㈴㌸〰愰扦〰㐹戳搵㡤㘷㌸慣㝦㡤㉥敤㜲㌹㔷㈴ㅡ㤴㡢昰昹慥挲敡㈰㕦昳㙥㠲㍢〰摡捣ㅦ㍡㈰㌳〸㔱愱㍣㐵㠸㉡㡣㘱㥤戱攵〵搲挰㉥ぢ㠱愵㤹㝡㄰㝡づ㈳㑢㐳搶慣㜷搲ぢ㘷敤㘰ㄵ㤱愸㔱㉢捥摣扢㈲㕤㔰㤷て摢愷慤捣㕢㕤㤵㔵挳㕡昴敡㄰㙤挷㘷户挳挱ㅣ摢〱㕢㔲㥤捤㌵㠱搴摢昹ㄸ㐳〸散戴昲户搲ㅢ扢㈵敦㌷て㝤挳捤ㅤ㕤戲挳㥡ㅣ戰㈲愶㘳扥㘸㘱ㄷㄱ㌹愸昶㕢㑢㉢扥㤴戳㐳搶㔱摦慥搶㙣㔷ㄲㄹ戰㌱ㄹ慣㥢㤳攷㄰㈵㔸昰ㄸ〳昴摣㈱㙢挹㌷摤㘰搵㘴㐰㜱㝤㜷换㤳ち㡢攸搶戴敤〶㜸㡤挲㈲昳挳搶攲㡡㜷〱ㄱ摢扡攳ㅥ㌵㔷㠳㙤㠱ㄵㄲ㝤㤴ㄴ㙡㠴㈶㌴㑤ㄴ戵㘲慦昸攱㠱㍣㤷㈳敦攵〹ㄴ慥㜲㍡㝤收ㄹ摡㥢㜶㝤ㅣ愳愱㥤捥㌹つ㈲㝡搴㈸散换㤴挲攴㔴攳㑥昶㜹㉦挰摤㐷㑦ㅦ㙦㐶收㕥㔳捣㕡愷㤷㍦㐳挶㉢戲㘸〴㐲攸愳摢ㄵ㤱ち换㐸㌹攰㐰㘰㥣㑦敤攴㔷戲㔴ㅢ㔲摦慥㘶昶〸㈲㐹㠳搶㥣戹㉣㙢㠸㐷㍢㘶戸㉢㝡愰ㄹ敢㤸戵㈰慥㥢昱ㅣ挷㈴㘹㤱㉣ㄷ㉢㈶㈹㜸慡ㅥ㝡㈷㙣搷戰〰ㄴ晤挵㐵收㐵ㄴ㤹ㄷ㔵搱愰㜵㡡愱㐱㤵攷㔸摥㌹搳户挳ㄵ挷慥ㄴ昹挰昰摤戶愰㐹㌰㌹㈵㙦㤲ㄲ㤹㌱搶㘶捤㥦㠶挹ㄶ㑣〰摤ㄳ㤰愳摣㍡愲ㅦ㤴慢㠹〲晥㠹ㅥㅤ㑢㄰㌰捡㔳㙡扣ㅦ愳改敡㜶〴㐴㡥㑡㤷㤲㍢ㄸ㤷ㅥ㐵㐹㈴㠴㠸昵っㄲ㠱㔷㌰㈵攴改攲㉥㔸愷㕤㍢〴昶㠸戱㈳㜶㌸ㅢ〰攵〰挸慡攳敤搵ち慢愹㑥攳つ慤㜰㕤㘷㔵㡢㥡戸戶戳㍥慤㌷摥戶㐱㜵愴㔱㔲㡡㘴戳㐶㑡戳㙣㌰挷敤愴㙡㠴㔲摣㠹戶ㄱ㔹㙥搳收扥㔳㡡扣〶挵愴㘸㈶㘷㝣㐰ㄱち〲扤戱㡥愲捦㍥㥢㍣㔲ㄱㅢ摡〰㈵敡愹愸㙣㈸づ〹ㅥ挷戵㤳慡㉣挵㑦攰敦㕤㜱㜶扥ㅥ戶搴㤸ㄷ㐷攳㥡愹㕡㙤摥㠵㤵㔰㌱晤敡㌶㘱㘹慣㉤搲㌰㡡㍢㝢搵晥搱昶愶ㄸ㌱㘶㐳㠶㐵㌲晣挰㘰㐳㌰㔷㉡愲㑡敢㙣㠸㕢摤㈸㉥昲改㠴㌴㕤㠵㠱挵戰㍡㉢搷㤴ㄹ搶戴攴㐷㔵㠷挶㘹㔱挹㔱挳㥡㕡づ愰搲㐳捡昱㌸愷ㄸ摣戰㑥搱㉤㠵㑢っ㄰扢㜱㙥愱ㄲ㈲戴摢ㄸ㠰㈷㠳敤㠳ㅤ散㐸ㄴ㍡愱㜵㐶〹㕡挸㈰摣搶㐵㤰㜷㝡挴㈸〴愹愵搲㍦づ㡢慦㍤挵昴扤挳戹㈴ㄳ㌳ㄱ挳㕤ㄹ搶〳㤰㥢㡥㑣㤲㡢㐶㤳㠰㜹㈴搹㤴搰ㅡ㑣捡㘸㘲っ搱攴昳㐳摣攲㘱㉣㙢㤸㙣㔳挳㍤户搰㠶㌶慤慤敦戲㡥扢㤵㕡扤㉡㤵㉡㑥㘴戵搲挸摢〲㕦敡ち㘰挴㑤ㄹ晢ㄲ㙦捡㜱ㅣ愵戸㘴㈲愹㜷扢摢㌸㡣敥㑡挸㘱㡣㐸昵㌱〰㤹攱㤶㔳〱戱㡥㝢ち戴て㜷㌷㉦㌰愸换㜳㄰㘹ㅤ㐵㤴㘵㜳戸㡦搷㠸㈲㉢㙥㑢㌵㥢昳收㍣摡散愹愲㘳㜶㔴戴㉤㜰㠴㜵㐶〲慦㔰㠰㌱搲㈳㜷㜰㤰摣愵㌸扡㝢改㔱昵㤸扢〴㔴㈸っ〸挶㜸㜹ち捡㘱㔷挱㐸㌴戸戵愶搵㉤ㄸ晤愵攵㙤㑣〱〸㠶㠱㘹搰愲㘵㘴攰捣㈰扦戹㠱㜳ㅤ㕡㘵㐴㐸搳挱㔴挶㈸㐷攱戰〷搲挰㑤㍣㐸㉦㜹㔰㐲攱ㅥ㜵㌱㉣戹㥢㌸敥攰〸攴昹㔷戴ㄵ㉥㤸㈱慥扦戸㝢摢㡡愷慡㔵㥡扢昰捦㙤ぢ慣攲敡㐶㘴㡥敥㘹扢㤴愵搶㐴晢敥挶戶㡡昸戲攰㠱搹㠹㘳㘶㔸㔹㔹っ搷愳㡢㕢扤㤲㠴晥㜳昸㈳㌶㝣㍢㙤收扣换㡢愸㙢摣晢搲㜹搷扢攰慡㜹改〱㙦晤㠱㐲㜰㠵戲㥦㤳㉣攵晥㡤㝦㉡㘹㌹晤㘷ㄸ㜱㉢搳收〰㑤〷〹挷㔱㈹㤲〶㘳挸㘷搰〹㙣昷挶慤〱搲挹㥥㌶㍡㔱㠲㘰㠷㔰摣㜳慦ㅢ愱㠸㥦〲慤㈴㤶攸㐸㡥㍤晦㉥㔸㕦㍣㠷ㄲ㈲ㅣ捦戱ㄸ搱慦㐷㉥〳㜵㑡㤰挷㔷㍣㜸㈱攴晦〷㑢〹㌷㙦挸㑥晦〵㘶ㄶ捦戶愳攸㕡愲攸㈷ㅤ㈸ㄲ扣〶愲昸昷㙥㘴㤲愴㌳㍣晢慡〲攱㕣搳捥〱昴つ扦昰晢㍦㍣㠰捥挵挴愱㙣㌴㠴摡㙥挲㜳挳㐴攸敢㌰ㄱㄸ扣㔷㈶挲〹㘴〴愳昸㤱㠹㄰晢㐰收㔱戰戹㠹挰搸㕥㠶㈱㤸ち戵愶摣ㅡ㍣㠱㕤攱搰㍦㜶っㄷ㙦㘵㠰㜸㍥㤴㔶㌰〳㡦搴㤵㥤挵ぢ愶㙦㍡㝢㔵昹㔱㕦㐲㤹昹㑢戸挹慤扡戰挷搵ㅢ搶愸㑥ㅢ昸㉡ㄲ㉦晢㡥㍦㘵㙢昷搷㠱愹㈸㐵敥㝢㔱ㄴ㠵搷攰㈹ㄱ㍣㌷攴㍥扡攷晢㐷晦昸昰攳㠷㜹㕢㉤愶㔵晤ㄶ攴㝢〹搹搳㥥㐰㔰㌷㜵㔱攴㜲㝥㤸㜳〲㥦㈸搹慢㌵㌹㙤晡捡ちちっ㈷挹㐶㠴㤷㈲捣㠸昸戶㠳㠹㠹㝢て㤱㠹㌹搱收敥㔴ㅦ㌶㈹ㄷ攱㐴㙡攲捡愷㤷㠴つ㐵㔷㐵搶愳戵愹晦㄰慡攸㔵㑥愴搵㑡攴愹㤳㐹㠸ㅦ戴敢扡㠳搴㜵搱㐱㠶㘱晦㐴㑡㈱晥㐰ち㐹ㅦ㘴㜸㈱㐰㐹愹㔳挸攸户〲㘴㐴搶摡㐳扣昴〷散〸〱搹戸昴搷攳㐷㉣搸㐵㘰㌱昱挵昷㝡愲愵㉤㥡愸㈶㠶㙡㤵㑤戳㠸㡣㍡扣戰㘰㌲㈹㕤㐲㈶㐹晡〱攴戶散㡥攲㑢㠶㥣㈸昰ㄶ㌱戶敥搰搷㔶㜲敥㜲敢戸昹〱㍤㔳㔰ち挳摤捤㘲ㅣ㐸㔵㡣㉥㙡㕡㡡㡡〸㠷愳㙣愳搳㐰㕣〵㥤攵敥挵愹ㄴ挱㍦㝥㈹挴晡昱收搰㤷户搷㔰挷戹晤㔸㈰㝦戰扦慥捤㘰㙣扣㤵ㅣ〳〹扢愵㔶挵攸㝡昸㘹㜴攱愲㜳挲㘸㘶搵戳㌸㠸㍦〹㘷昵㘹ㅤ晡㥦搱㙢挵㔹㘷搸㥢㘱散ㄶ晤㝦ㅦち㌶搵晦㠲戱㌷㠵挸晢攳っㅦ㜴挶㑦㌶つ搹㜰㐷攰搹㐶昰㐶ㅤ㡣つ㤵㘵挸㍢捡㉤攲攳搵愸㕡㐹㜰昸扤昲敤㔷㈳ㅡ㝤㘹摢づ㜴ㄵ㠰㡣つ改摦㠵〸敡摡扦㔵㙥㈵愷摢挲㠷搱㜱捦〹扢攲㝢㠱㘷㠵㘳㡢〸晡㡥昱摢㌳ぢ㌶捦㤴昸㑥扢㔰扢ㄱ㍢㌱昸〰晡㥣㥣㠷挰㍥㈹挳搷㉢ㄶ挹挸挲搶㈲ㄹ晣づ㘹㈴ㄵ㕥愲㜶〸㉥戳敥愹㥢㌵㝣扡㍡て㕦㘷挸愲㙤愱散㈲㡦㜳晢つつ㙥ㅤ敥㘸㝤〸晥㈰㔹㥢㐰㜰㑣㉤攱挳て㜰㕦摢昷愰戵㙤扣戶㠰㉤㝢昳戹㤵昴㘷㠰搳慤扤愵㤵㘴昸㑥㝥㤱㕣㌲捡㠴戸戴㝦ㄸ㝦户敥愰攵㘸愳愰昳昸㠳㙥㍡挲挶㙢㜰㥦㙤㈱晡㝤ㄶ㕤挵ㄴ〱㝥㠶ㄹ㘷昸㈰攸攵㈳㉢㡡㙦㘲㔹㘴〰攴㜳㠵ち㐰㜷慡㝥㝡㈳慡ㅥ戹㥢㍤㤱〴捦ㄸ㈴挷㤲昸㍡ㅡ㜲扢愲㘵㠳㈵戸㙣愱捥ㄲ挸ㅢ㐹て攴㜳㠲㘷〹㌵㤱慦愲㐳㘳㈲㌶㑡扢㑦攴㉢ㅢ㑤㐴搰ち㔰ぢ㑤㡦㍦㤲㘸ㄱ愳㠶㙡挳㈱㜰〹㍣㠰㤱㐴㤹っ㔳㍥㔲攸ㄴ愲ㄸ挳㜳㐴ㄱ搲㙦攳扦㉦ㅦ㝥攱㜹愶扦ㅦㄶ㑡㈲愲慡㜵ㄵ㤴㠸㙡ㄵ㕦㐸慦挲㐷㘹昷㔵㝣㙥愳㔵㡣㔰㔸㜲㈶㐶〸㌰搴㈷捡昸愳㔶㔵㐷㠶ㅢ捡㥦㌸㑢㠰㕦换㉣㐶㑣㤴愸扥ㄷ㤰㐱㕦敥扣㙡㜵ㄱ㤹愴慦捥㡤挸昸捡㐷ㄹ㑡扣ㄱ㐹愷㑥㈱昲捡ㄶ㈲昵㔸㜴㘲㜷散戶㄰ㄲ㔸ㄲ㍦㥢敤㉡摢ぢ㍤㠶晡挵㈷ㄳ挴ㅣ㍢㤶㝣㐲愵挵挱㈷㄰㐶㘴㥡㤲㤰戸㤱攲ㄳ㐹攳ㅦ晤戸改㍢㐵〵ㄲ愸㈷㙡㑣㠲㔳㡤㥦㐸ㅡㅦ挰攷㔹慡㑤㡥㔷〹㤸㕥㑥ㅡ㤳㌰㔵攳挷㤳挶㝦㍢戰户搱㌸愱挳㘸㘴㥤㐴㤲㘱昴慡㘳㐰敡㔳敤㘱㌴搷㉤㉡搲〱㉢㉡愶〸㔵㌱攴㥡㔲愵㠳戸ㄵ攲攳㘳改㌹㕣㜲挲㕤㄰㐸摢攸晦㤹㜰ㅣ㤷㥦㘶捤搰挴户搰㙢㠸㍡晢㠶㝡㘲攷㠲㌵敦愳愰摦㍡ㅥ攰㜰㔵摤㔶㈴〲扢㈰ㅦ敤敦㈶摥昹っㅢ戲戹ㅦ㐹戴㑣攳㘵㤲摥戴㠸㡡戰攴挵挷ㄲ捣收ㅥ㙢搲㡣昱㈸㤰〳㌱〹挸㡣昱ㄸ㘰ㄴ㤱搹挳㠲ㄱ昲扦㘲敥㡦戱攲攳〴㡦〳㤴〴㤹㥤㜴㔰㜸〲㘰㌸昹㍦㔶㡣慤㈹挷㠹㈶ㅥ㑥㕥㤶㈶㈳攳㤳散昰㈹㠰㍥昸㜱㐵㑣㠴㈵攳搳㈸㐹扦㤴㠲㐳扤昴㌳慣昸㉣挱攷〰㑡㍡㈷扢攵㕤攳㥡㝡㔴㘱㥦㐷㔷昱ㄸ〱㝥挶ㄷ攲っㅦ㜴敥挳晢扡ㅢ捤㍣ㄳ㈷㕦昸㈳收搹昲㈹晦㕤昸㌴㝦㥤㡢敥挳晦㤹㐴㔷ㄶ㝥㕥㝢㙦㙦㘳㤱〹㘸㥣慢摦㉡㌶晢㌵㡣挳㜵㌵㐳㈹ㅣ㤱㑡愵愸ㄵ〴昱捤〵ぢて㙦攰㕢づ愹ち㈱㐸〳慡挲㡤㉢づ愳挰昸㈲㥢ㄲ挷挴㤳昱㈵㍥ㄱ戵㙡ㄳ扦ㅣ㘷昸㈰㠸㔷搵晤挱戸㝢昲㐲攲㕡㔵搸㙤㉦㈴晥㔵挵㑡晡㠵㑦㜱㌰㠵㉣㘴㕡戵ㄲ㤱愶㘸攸敢挸っ昵つ㜳㙥昷攲愷㕤ㄴ㤵戳搵戳㘷㕦ㄹ捥㡦㕤㥤扦敦㠳㠳㑦扤晣㥢㍦㍤昹攲㐷づ晤昵㕦㑦㍦晤攲㥦㥦㝣晥㕦㍦㕦㍥昴慢㘷㥥昹攵摤摦㝡晥㑦扢慤㙦㙢㍦㝥㘵敥摢㡦㑣㥥㝦攴㈱敢昴㉤㐷ㅦ戹晦挱㝢㈶ㄷ㉥ㅢ敦敢敢敦扦㜹昴搷㔷扤㘳攴戱㠷㥥ㄵ扦昸晤㤵慥㔰换挵ぢ㕡愷挱㘵慢㘹㝣〳ㄹ㑣㠳㌳㝥㐳愷挱攵慡㡤㕡㡥㌷㙡ㅡ〵㐵㌸㌷㌸〱㔵㘱戶㔶っ晣〷㌳㔴戳晦</t>
  </si>
  <si>
    <t>Jednorazowa prowizja banku:</t>
  </si>
  <si>
    <t>Całkowity koszt budowy, pln:</t>
  </si>
  <si>
    <t>kredyt:</t>
  </si>
  <si>
    <t>udz.wł.:</t>
  </si>
  <si>
    <t>=</t>
  </si>
  <si>
    <t>okres spłaty, lat:</t>
  </si>
  <si>
    <t>roczna rata:</t>
  </si>
  <si>
    <t>roczne oprocentowanie kredytu:</t>
  </si>
  <si>
    <t>roczne koszty budowy:</t>
  </si>
  <si>
    <t>w tym finansowane kredytem:</t>
  </si>
  <si>
    <t>Zależność wykorzystania powierzchni od stawki najmu 1m2</t>
  </si>
  <si>
    <t xml:space="preserve">Zależność stawki najmu 1m² od kosztu budowy 1m² </t>
  </si>
  <si>
    <t>2. Udział kapitału własnego w finansowaniu inwestycji</t>
  </si>
  <si>
    <t>Regresja liniowa i wielomianowa</t>
  </si>
  <si>
    <t>x</t>
  </si>
  <si>
    <t>y</t>
  </si>
  <si>
    <t>regresja</t>
  </si>
  <si>
    <t>koszt budowy 1m2:</t>
  </si>
  <si>
    <t>stawka najmu 1m2:</t>
  </si>
  <si>
    <t>Zależność stawki najmu 1m2 od kosztu budowy 1m2 (dane):</t>
  </si>
  <si>
    <t>stopień wykorzystania powierzchni:</t>
  </si>
  <si>
    <t>Zależność wykorzystania powierzchni od stawki najmu 1m2 (dane):</t>
  </si>
  <si>
    <t>stopień wykorzystania powierzchni przy stawce</t>
  </si>
  <si>
    <t>wyniesie</t>
  </si>
  <si>
    <t>od 30%  do 70%</t>
  </si>
  <si>
    <t>1. Wskażnik kosztów budowy budynku, uzależniony od zakresu wykończenia i wyposażenia budynku</t>
  </si>
  <si>
    <t>26 500 000 PLN</t>
  </si>
  <si>
    <t>(1,38888888888748E-8) * x^3</t>
  </si>
  <si>
    <t>(-0,000501190476190056) * x^2</t>
  </si>
  <si>
    <t>(6,23492063491657) * x^1</t>
  </si>
  <si>
    <t>(-21866,6666666539) * x^0</t>
  </si>
  <si>
    <t>(-1,83497215293816E-8) * x^2</t>
  </si>
  <si>
    <t>(1,46505616968913E-5) * x^1</t>
  </si>
  <si>
    <t>(1,05075509567243) * x^0</t>
  </si>
  <si>
    <t>Rok 2022 - rozpoczęcie realizacji inwestycji (roboty konstrukcyjne)</t>
  </si>
  <si>
    <t>Rok</t>
  </si>
  <si>
    <t>Do przeniesienia:</t>
  </si>
  <si>
    <t>kwota</t>
  </si>
  <si>
    <t>Rok 2023 - roboty wykończeniowe</t>
  </si>
  <si>
    <t>Rok 2024 - wyposażenie budynku, wprowadzanie pierwszych Najemców</t>
  </si>
  <si>
    <t>osiąganie zdolności użytkowej</t>
  </si>
  <si>
    <t>stopień wykorzystania powierzchni użytkowej</t>
  </si>
  <si>
    <t>Rok 2023 -                     roboty wykończeniowe</t>
  </si>
  <si>
    <t>㜸〱扤㔷㑢㙦ㅣ㐵㄰㥥㥥摤㤹㥤㔹扦㌶㠴㠰㐲㄰㑣ㄲㅢ㠳散㉣晢㡡敤㐵㌱㘰慦㥤挴㑡ㅣㅢ摢〹㙦㡤收搱㙢㑦㜶ㅥ搶昴㡣敤つ攲〰ㄷ㄰㜷㉥㜰攵挴ㄵ㈱㈴㥥㠷㘰攰挲㝦㐰〲〹〹㈱㉥㕣戸愰㔰㌵て㝢搷㔹慣〴㔹戴散摡敥慡敡敡敥慡敡慦㙢㌸挲㜱摣ㅤ㘸昸㡢㉤㡢㥤㐷㔷摢㉣愰㑥戱攱搹㌶㌵〲换㜳㔹㜱挶昷戵昶㔵㡢〵ㄹ㔰㄰㔵ぢ攴㑣㔰㤹㜵㡢㑡敡ㄶ昵ㄹ㈸〹ㅣ㈷㐹㌲て㜲㌴㠲晦㠵㜴㈰攳慣晥㉣㤰戵挶散㤲㝥ㄳ慣慥〶㥥㑦挷㤵ㅢ昱摣改㜲戹㔸㉥㔶敡㤵㠹㘲㘹㕣㘹㠴㜶㄰晡㜴摡愵㘱攰㙢昶戸戲ㅣ敡戶㘵㕣愱敤㌵慦㐵摤㘹慡㤷慡扡㔶㥢㉡搷捥㥦㙦搶敢㔳晤戰㌴㜷慤㌱扢散搳㈶㍢㉡㥢㈲摡㕣㙡捣ㄶ慦搱攰愸㙣收挰㈶㤸㥣昳ㅣ捤㜲㡦挸愸㠰扥㉤捦㔱挳挲㈰㔰敡㕢敥㝡ㄱ戶摤攵㘸ㄸ㑤ㄶ㐱攷㠶收㌷愸㙤慦搰愶〴戳〶㥤敢㡣㌶㐲ㄶ㜸捥㌵捤愱晤づ㍡㤰晡搴㌵㈸ㅢ㜴收㜷っ㙡㈷摡㑣㜲㘰㉡㉡㘵戱㌳攴挴㐱㕣㌰愹ㅢ㔸㐱㝢〰つ慤㘸敥㍡㐵ㄵ挱戹ㄴ㕡㈶㤷捤㤲㙣㤶换㤰㤱㕥㝢㡢㐲㤵散㈸敡㘳〸敦改ㄴ㕤摢挲㤴㍡㝢挰㍥挶㙣㘹㌳戸㐲㝤㤷摡挹ㄲㄸ捣戱〳㝡㤱㡦攲㔰散㌹㉢㍤㄰〶㡡昴㈵昷〰㑦㠳ぢㄱㄹ㥤㈶换㐰挴㍣㤰㐲换㘳户〲㐵て㑤㙦扢慤㤴㥤㡡摣㠷昲㝥㈰㈴晢㈷摣慡㑥〳㈸攲㔵㡤㔷㜵㕥㌵㜸搵攴㔵捡慢㑤㕥㕤攷搵つ㕥戵㜸昵㈶慦戶㐰㈷㙤㔲㉥挷㈷敤㡦㡦㉡㉦㝦昶昱慦昳ㅦ搴摦慡㥡扦㍤戸㈲攰㌶敥捤慢㜸㙥愵戱攱㌱敡㐶㕥ㅥ㜳㤶㉤愳㐵晤㔵㡡㌷㥢㥡慢㠱ㄶ搰ㄳㅤ㘱ㅦ㕢㜲ㅢㅢㄸ㐸昳㑣㈷户㌹扦ㄳ㔰搷愴收戲敦㙤㔲㍦㘸慦㘹扡㑤ㅦ敡㔲㤹〱愸搸愲㈰㌸搹挵扥攸ㄹ㈱㙢㜸㙥攰㝢㜶户㘴挶摣搲㈰搵捣㐵捦愴㕣㈶㐳〸挷ㅦ㑦㕣㍥扦〵㠹㜵㔹㜳㑤㥢晡㠷挲ㄱ挱扣ㄱ昳搰㌸〱〳㜳晦㈹㠴ㄸ㈵㐷ㄹぢ昸挲〴攷愲攷戳㑣愶搷愲㤷㌵戶ㄱ攰戹てㄵ㘲愶挸㠳㐸㠶㠰〸ㄸ昷㝢挹搰㤳愰㐷㌴愲ㄳ㠳㤸㠴收ㅣ挸攰挵㜵㕦㠸㉥愶攰捣㔱㘶挸㜸昳ㄶ㈰〸㍢㈲昴散㄰敥㉢扡㤵敥〴㜳㕡愰攵㥣㘵つ㙥㙥㌰〸ㄳ㐱㙦㉣㌱搰㥦づ愳ぢ㥥づ搰㕣㈱ㅤ愴㔶〷昶ㄹ㘰晣㜸㍡敡㔸㘳捦㜶扣㤴ㅣ慤㠳㠶攳ㅥ㕡ㅤ㠸㜸愹挹㝣㌲〲㝢㠵愸摢㘱慣㉦㘲挴㤶攰散昸昶挰㥢㤱〱搴㠸㝥㘲㉡㘲㍢摣㝤戰㑦㜰ㄴ㈶扡㈴ㅥㅡ㤸攱〳昷㍦挲〹㐳扦ㅥ㔸㌶㉢挲㘶㉥昹㕥戸㠹㜶晥敦昵㡥㙡摦戸昷愸扤昴挵昳㜱攷慦㍢搱敦扢户㤳昱㜰昲晢搳㌷㜹ㄹㄱ㑣㍣㠶㜲㉣〰昰ㄷ㥢晣〰㤰㝣㉣㤵㔱㝡户㌰㥡昹㉦㌲〱挱敦㝥㠰ㄶ慦㙦扦戳㘴攸㙢㍥㡤ㅥて㈹ㅡ戴㌷改㠰昳愲攷户㜴捦㙢㘱㠶つ㐶㈳戶㐱㘹㠰㜰摣㤷㍣㐰搸㈷㠴㘴㌲㕤㔰摢㠱摢〸攴㈲摥慤㠱ㄹ摢㔶㔲㡢㑣㝣〴昹㤰㄰㄰㜷昱ㄴ昴㥦㥤㈸㉡戳愱搹㜶㘹㑢搱慤搰㐷㐴㍦愷挰㙢搸ち摡摢慥户晢攱户敦㈸㉤㙤搳ち戴摤户㐳挵㜲户㈹扣㥡扥愶㙥㔵㡡㍢㌶摢㈱扦㠰㥦㄰昲摦㙢扦昹挳慤ㅦ㉦㉣㝥晡晥ㅢ㘴㙥昵㍢㡥晣㥣〸づ㠲㜸ㄶ㈱攲搰㝣挵慤攷慦㝡㥡㜹㔱㌳㘰慤㕣㔲㉡㐹つ捦搹㠴慢敥ㄷ㄰㡦ㅡ㠰㥤㠰挹㕢㤶㐹㝤〹ㄹ慢㔰㤲㘵ㄱ挹挴〸㈳ㄸ㕣愹っ㈷〸㝤㔲慦戵ㄶ㔲㕢挳㍤㑡扥㠵扢散晦晥挲搴㜳〸㤷昹㝣昴搰㍤〶㕤昹㜱㈰〴㤱づ捦㜳㐰㐱〱㤶㝣ㅡ〸挱慣㑡ㄵ晥㠶㝥㍥晦㌰捡捥㈰㌹ぢ愴㠰戶搰戴㌸っ㘴愴㌱摢㔸㔱昵摡㘴戵㘲挲摦㘴扤㕡慢㔵敡扡㔱慤㘹㘶戳㍡㌹㔱㉦搵㑢㤳ㄵ㜱㘴㑦㔵㌳㑡㕡戹㔴搶昵㝡戳㕥㉢㔱戳㕥㉦㔷捡㔳㑤慡㑤搴捤㕡㝤㐲㉦攰㉥㈳愰㝦〲㍡昲㈸㤰㠲㤲戲㥥㐴搶㔳挸挲慤ㅥ搰挲ㅤ㐶㌹㌴㡥ち㡤㔹戵慢㘲ㄲ捦〱㜷㐰㡤㑢愸搸摦㘲ㄱ㔸㠳愰搸昱〸㡡㑦愳ㅡ昰㈰摢㘶㑣搳愷㡣㠹㈵㘰ㅤ〳㔶㜷㈱㈵㤶㠱摤ㅦ㘹〲㘶㐲㤹挶挴ち㜰晡搴㌸㔵搷攰㕥ㄴ搰㕦戸㈵㠹㤰㝣㔴㤱㠸㌵ㄸ扤㌶晡敡㝦㑢㘱㉢㑡攰搷㕦搱㙣扡晢㈵㘶扡㘱㈹摢慣愵敤㝥敥㕡慤摢㥦㙣㡦㥥扥㕡㤵捦挳ち㔱攱㈳㐹㠰捥㥣㠰㙥㉣ㅤ挰搳㥥㌵㘷㘷戵㠶昸㜴挲㔹㘰㜰㉣愸晡搷扣㤹扤㡡昱㔸攴㍢攰㡦愵て昱挸㍥㘷㐶㘷㥥ㅤ〶攸㡤㘸摡㤲扦㌷て㕥㥢搸㑤㘳昸㙣㥦搸ㅦ㜵扣㌳愷昶戹ぢ㉥㠳摡㠵㥡愹㐵挶ㄱ㤲攵㌳攴㕣慦㤳㈴㤵㘱散昸搴挶扣ㅢ㍡攸晢㔳㍤敥换慣ㄵ㐴㕦㐹㜱愹㠸㜹㉣㑥〱ㄱ愶㠷㔷㠷慢挲昷㠰〳昷户づ㍡㍡户㠵〷㔴㔵㑥挲㔵㌱㌷昳昲㌳㐰挹㈸㄰っ〲㤱昱ㄶ㠸ㄷ㠰挰㐲㡢挳㔵㜲ㅢㄶ挲挵㜰㝡㕥㝥ㄶ㜵㌰挳㤱㠵昳〹㘶㝡㉡㈷ㄸ㔷㠴㙣ㄹ㈱㔲㐶㔰㤴ㄱつ挹搷愰摤ㄳ捥扥㑡〴㜷挱ㄹ敥敡㌰慦攰㔷㑡捥㔱㌵晣㡥㤴ㅣ搵愶敥㝡戰戱昷敤〸愷㤳攰攳㜱づ㤴㜰㤳搸〸㙥ㅤ慤捡昳㐰㔲敥㄰慡攰搱戰〶收㠶㔰戴㌷敡晢〷㜷㌷㔴㜶</t>
  </si>
  <si>
    <t>㜸〱扤㔶㑢㙦ㅣ㐵㄰㥥㥥摤ㄹ捦散慥㥤つㄱ愰㄰〴㤳ㄷ〱散慣攲扣㐸づ㐹㘴㡦敤挴捡挳㈶㜶挲〱愱㔱敦㑣搹㥥散㍣慣敥ㅥ摢㥢㘳㠴挴㤵ㄳ攲昵〳攰挰㠹〳㐷㤰㈰ㄷ㈴㌸挰㡤ㄳㄲ〸㜱攰㐴㉥戹㠵慡摥摤戰敢㌸㔶㠲㉣㑡摡摥敥敡敡慦㙢扡慡扥㙥㠳ㄹ㠶昱〰㠵晥㐹捡搴㜹㜱愱㉤ㄵ愴つ㍦㑦ㄲ〸㔵㥣㘷戲㌱㈱〴㙦㕦㠹愵㉡愱㠱ㅤ挴㌸㉦慤㐰挶户挱〹搶㐰㐸㌴戲っ挳㜱㕣ㄳ攷〹㠴㝥昵摥挰愵㔵戵㌲㌶㡢晥攴㕣昳ㄶ愲㉥愸㕣挰㤸㜷戳戳昶摣昸㜸㘳扣㜱晣散昱搳㡤㘳㘳㥥㕦㈴慡㄰㜰㉥㠳㐲〹㥥㡣㜹昳㐵㌳㠹挳换搰㕥捣㕢㤰㥤㠳收戱ㄳ㑤㝥昲捣昸挹㔳愷㤶捥㥥㍤㔳挳慤㡤㙢晥攴扣㠰㈵戹㔳㤸㌶㘱捥昹㤳㡤㙢愰㜶ち㜳〸㌱ㄱ㜲㉡㑦㜹㥣敤㄰愸㐵㘷㍢㍥〵㘱㑣㐱〰㄰㜱戶摣㐰户〷づㅡ㐷㙦㌴搰收㈶ㄷ㍥㈴挹㜵㔸㜲㜰搵㐸㝡㐳㠲㕦㐸㤵愷搷㜸ち戵㤴づ㄰〴㘴㈱挸㤱㜴㝡㈳㠴愴㙢㉤㥤ㄴ㤷㤲㔱㤹㍡扢搲㑥㄰㘷㈳挸㔴慣摡挳〴㜴㥤㘷换㐰㈶㔶㝡戱㠸㈳愳㕣㘶攵戲㔱㘲㠷户昲㑤㠷慡敢㤱敥㔳〸㥦攸㉢〶摣愲㤴㍡戸〹㥦㘲㌶户慡㉥㠳挸㈰改㙥㐱挱ㅣ摤㘴愷捦愸ㄳ㡡㠷㠷搵晢㈰ちㄴ慢㜶敢㠰扥㠶㌶㘲㉥ㅤ㥡敢㘲㘳㔷戰㌹㕡㐴户㘳㝥昷㡥搷攲慢戱挲㑥攱慤摦扤挳㘵〶换戹户敥戵㜲㜹㕢昱㜰挵㙢ㄶ㔱扥摥㜶慢戴戸㠶つ㉢摦挳㤲敢㐷愷㈹㌳攰㘶搰㌴㠳搰っ㈲㌳〰㌳㔸㌲㠳㘵㌳㔸㌱㠳搸っ㙥㤹㐱ぢ㙤㝡攲っつ㤹㕤㜱摢扦㝣㝡摥昹挰晦敡晢㥦扥㜹㝦搴㔶ㄶ昹昸㘴㐷㑥㠷攲昹㉢戹㠴㑣㠷㘰㌴㥤㡦挳ㄶ㠸〵愰戲㠷㘸㐱㜱〵捦昶攵挴攸㕣收慦㔰㤴愳〳晤摡愵改つ〵㔹〴搱扣挸㔷㐱愸昶㈲㙦㈶昰摣㠰挹〴昲挸ㅡ攰挴摥〱昵㑣ㅥㄶ搲捦㌳㈵昲㘴㜰㘶㈲㕡攳㤸㠷搱搵㍣〲愳㔴㘲捣㌰昷㜴攳㌱扤㠶㔹㜷㠹㘷㔱〲㘲㕢慥㘲㤴㔴㜶〵挵戰㈸㙡㑦㥦㕦㐴㘰慥㑥㘷㈴ㅦ㘹愵㌳戹㤰愵搲㔶㥢㕥攲㜲㐵搱㜷㙦㍢㐹㘹攴㡥㔰戳ぢㅢ㡢攲晥㈴改扢ㄷ敤ㄸ㘷㑤ㄶ戲㠸挱㔰㡡改㝤㜵㔹㔸扡㙡慤㜴ち㘴攸㔲㔹捥㘲㄰㌶㙣散㈵〵ㄶ㌳ㅤ㉢㙣愸㈹慥昸㔰㍡捦戱慣搵〸㉥㐴扢搱㉥㐰慤㌷搴搵摦ㅢ㄰㕣扤㌷攸愱づ晦慢㐰昰㍤扤㔱摦ㅥて戱㍢㕢戹㝡ㅦ〲敥昴〸㜵㔸敢㝡㤰㤵敥〸昱敡扡摢〷㔶搵㡡づㄲ㝥㍢㕤㑣㜸愱㤴㤰㔲昴㕦愷戵㐹戶㍦㍥昴ㄳて㡡ㄲ摤戱户つ捣愱㑤攴愰㐹㈴㙣摥㔰㜱㈲ㅢ攸捣㐵㤱ㄷ慢㠴昳㝦敦户㔳㝥㤳敦㈷戴晣㝣〱扢㈸昷ㅦ㉣㘹昹攳挲挷ㅦ㤱㝣摥搵晦晡㜵挵㈵㝡戳㜷㤳ㄵ扤づ攸㥦挴㝤〶㥢㑡㘷搶愵搹㐷㈷昵捡挷捣㔹㐴㝥㑦挳挲㔴扥戵㜴㉥㙣㉥ち搰㌷㡢愳〷敤㔵ㄸ㑥摦捡㐵慢㤹攷㉤捡戰ㄱ㍤㤲㉢〰㡡戸扡摡扤㥤愸捦ㄸ㉢㤵〶愸戶㡦搴㠹攵㙤慡慤攱㠹㈴昱㝡㠸搲㝥㠱昴㤸㄰ㄸ㜷㝢ㅦ昶捦㥦㙥㜸㤳㐵搴捥愰攵㌵攳㐲㈰㥢㝢㐷㍤扣㉡㕢慡扤㥥攵㜷㍦昹敥扤扥㍢㈰捥搶〱慦㔴挱㠳戵攳㡤㡤㐴㙥戰摦昱㥣㠸昲敦戳㍢㠷昷晤㜹昱昲㘷㝦㝦晢敥㤷㕦摣晢㤰晤搶㥤搸㑣攲㘵愲㠸㙤昳㤵㕣慦㕣挹㜹㌴挳㐳摣㙢愸晢㡥㜲晣㍣㕤挵㔲ㄷ㜵攲㈳ㅦ戹ㄳ㌹㜹㉤㡥㐰㌸愴㔸挰昷㕡㤹㤸捣搶ㅣ㈱戱愴㑡㠶㘵㔵㥤慤昶㥡敤㘱ㅤ摡攲㍤㌸晢〸晥㕦㙦㥥搱〹㔴愹攸㡢敥㈵㜴搰㝤ㄹㅢ㐶㑣㐷摦戳挹挰㐳㤵扢ㅦㅢ㐶㔹搵㌳㠸戰㕦愹㍣㑦㜳〷愸㌹㠸㑤㥤戰㐸敡㠴㐷㔲昷昴ㅦ㜶〸㠰愴㑥搶㍡㥥㠷㘸攴㑦〶〳㑦ㅢ晢㌰㙡㠷㠳捥㕢愷昳敤昶㉢愸ㅡ㐱挳扥ぢ挹㍥㐲㘶愸挳挸㑦㐴㤱〰㈹敤㔷㔱戵ㅢ㔵㠳㉦ㅥ晢㌵㔴搷戴㈵昲ㄷ扥愷愴晤㍡㙡慡㐱㈷㙤ㄶ㌱㐷敢攴㍢戹攴㌰㔶搱㑦〷㝢っ㐷㜳㐷摥晥㙦改ㄴ敢㘴㝡㘷㈶捥㜸㈶昳㜵㥥挵㜰㘴晦昴〹昷㈸㠲敡㐷㠹攳㈰㌹ㅡ㡣挶㔴㘹㉥㘵戶㑢戹散㔲ㄲ戳ㅦㅦ㤷㠵㍦㍣㈶ぢ慢晦〰㘷㘲愹㡡</t>
  </si>
  <si>
    <t>㜸〱捤㕡㔹㙣ㅣ攵ㅤ㥦㔹敦㡣㜷搶㙢㝢㤳㜰愶ㅣ㕢づ㐱㜱㔸挵〹㠱㔰ㅡ㠲㡦ㅣ〶挷㜶散ㅣ㔰愰㥢昱敥㌷昱挴戳㌳捥捣㙣散〵㉡㈸慡搴慡㤵㄰攵愱㉡㤴扢㈷ㄵ㙤ㅦ摡搲搲㐳㔵㈵㔰ㄱ㑡愵㔶攲〵昵愵㐲愰㍥ㄴ㈱摡〷挴〳ㄲ晤晤扥㤹㕤敦㘵㈷㤸㈰昹㡢昲昷㜷ㅦ晦晢晦㥦㔵㔴㐵㔱㍥㐶攱㕦㤶㈴㉢㤷捣㔴㠳㔰㤴昳㈳㥥攳㠸㘲㘸㝢㙥㤰ㅦ昲㝤戳㍡㙥〷㘱ㄷ㈶攸〵ㅢ攳㠱㔶〸散晢㐴慡㜰㑡昸〱㈶㘹㡡㤲㑡ㄹ〹㡣搷晥㘷㙢ㄵ㠳慢㡣㈴㐰〶戳㤴㐳㈳挳㤳戳㈷戰昵㑣攸昹㘲㑢敥㐸戴挱慥挱挱晣㘰㝥摢捤摢㙥捣㙦摤㤲ㅢ愹㌸㘱挵ㄷ扢㕣㔱〹㝤搳搹㤲㥢慡捣㍡㜶昱づ㔱㍤攴捤ぢ㜷㤷㤸摤扡㝤搶扣㘱攷攰つ㍢㜶㔸㌷摦扣㌳愳㘳攷㠹㤱攱㈹㕦㔸挱戹摡戳㥢㝢㑥㡥っ攷㈷㐴㜸慥昶㑣㘱㑦㙣㌹敡㤵㑤摢㍤㐷㥢㙡㐴昰昶㔱㔱戴㐹〹㈱㝣摢㍤㥥挷戵㥢㄰㡤搶㑤昹扤挰㜸搱っ挲ㄱ攱㌸搳挲攲〳㌳㘵攲㑣昸挲㉤㡡愰慦扣㘷愹㈸㥣㜸㌸㐸㤵㡦㤸晥㠴㔹ㄶ㐹㔶晡换ㄱ摤挶㑡挲つ敤戰摡㕢㍥ㅣ㠸㘹搳㍤㉥㌸㐵㉢敦慢搸愵㘴㔲㑤㈶㤵慥㙢㍡㕤㐶搲㈶扦搷㉦㡥捣㤹㝥㈸㕢愴摡㘰愷戹つㅣ㈲㉦摥㜴㉤㜲㔱慥㘵ㄵ挹㌴㘳㤷敦㄰扥㉢ㅣㅥ挲户つ戴㑣㤲㌸㠹㔰㕦㐷㑥敤㌵㈴㡣摡ㄳ㌳㍦㥦挲㔳っ㠳㈰つ愰昷〰㜴㡤㑤㑦ㅢㄹ㜶昵〲愸挹晦㐱㜸ㅡ㤷㜰㑥愲㘰㈶ち戳㠹㐲㌱㔱㈸㈵ち㈲㔱戰ㄲ㠵攳㠹挲㕣愲㘰㈷ち㈷ㄲ㠵㜹捣愹㤵㔴㜷㜷㈲㉥昷㑣㤸晢摦搸㜳搹昸搳㝤摤户㝤昰摡㈳㉦慢㤴ㄷ㈹㌸晤愸ㄸ㔹〰㝤〳扢㈶愶㡥ㄸㅢ搹戵〹㐰㔵摦挵ㄵ㜸㡤ㄷ扦昳昰㍤㙦ㄶ晦戹敦愹扢㑥㥦晥愰昸搶㝢㤹昳㌱㝣㌰㝥捥愸㙦㉥㠲㈷㤶搹㙤㕢㝥㉢晦㥤㔹捥㈰㘶搶づ敢㈶㙢㜰戰戴㘳慢戹摤搴㠸㤰戳愵敥㜹㤸㥢戱㡥摡㙥挹㕢㤴攴捥㔸㝢㙤㈷ㄴ扥㙣昴㕢昸ㄳ戱慣㙣昷㕡㝢㤶㈰敢挵㠸㌳捥戳㐶㠴ㅦ㐲㐶挲敡㌲扢㕣㌲㙣〶㘲戹㌹㄰敦㍤散㔵摣㔲昰戹捥㠳㌳愱ㄹ㡡捤慤㘳换㥢戴㉤㥢㠱晣㠸㐰㕥改戲搶㘵㐷㑣愷㈲㠶㤶散㘸昸搲㤶㘱㐸㤲㌷扢昲攸㕥㕦㥣慣㡦戶摤㘸〸扡昶㤴摣扢敤㤵搱㔰㜴慦摣挸㥣ㄷ〸㔷㕥㙦愰㍣㘵ㄷ攷㠵㍦㈳愸愹㐵㐹㍥昵㝣づ挵攲㍣㌰改攲愱㄰搰搲ㄵ㡤扤㐴戴㜰㑢愲㠴晢㉥〰换搵㐳收慣㈳㉥㘸㥡ㄲ㥤㠹㠱㡢㥢扡昷㝡挵㑡㌰攲戹愱敦㌹捤㈳㐳愵㔳㈶㔴㐸改㠰㔷ㄲ㐹㔹㤴〸慡㑡㔷㤷慡㉡搷㜶㤲㐵敥ㅤ㔰㕡ㅢ㤸㠴㍡㘱昵挹つ㑣挴挹ㅤ愵扣扥㌳㉡つ㑣挶昹㕦㔸昵㈶㡤㑣挸搹㕢㔷㥤摤㠱㐹戹攸愲㘶挱换㑦㠳㍥愰㠳㈳㈸㤵㠹慢㔶摥㜲㤹㉦捦㜰搳〶慡搰㌰㜳昶㉡㐸㤳摢搶㜹敦戳㥤㥣㐸㙣㡡㕦扦攷ㄴっ挵㝥搳㉤㌹挲㕦搵慤㔰㜹㈳攳〲㠲ぢ〹㉥㈲戸㤸㘰㌳㠰昶づ昴摢㡡ㄸ愵㥥㔴㤷搴慡戶㘸㤷挲㌹㝤㑥搸挷攷㐲昴挱ㅤ㐹愵㠸敥戶㘲㕣㠲㉥攳㔲㠲换〰搲㘹㐵扦㥣㤳昴戴㤱攳㥦捦〳昴搷㉣㘵㉥攲捣戴愲搱ち㝣㜲㕢㐵㈷挸㤰愶ㄱ扥㑢愰㤵戱㙦搰搵搵〹ㅢ晢捤㘰㉥愴㈰慥㍡㈸慤搲ㄵ摣昴㑡㠰捣㔵〰ㄳ晢㠵〳㌱㍥㔷㙥㡦㐶〳㜷㐶昳㑡ㄳ㜴㐱㜹愶敡ㄶ攷㝣捦㠵㈷㌸㙡㠶收㔰ㄱ㍥㐴愰㥡㝡㜹摣ㅢ愹㠴㝡㜹扦㡤㍦㤹昲戴㔸㄰㘶㌸〲㌵ㅤ昶㤶挷攱㝦㐸㍤㍡㔶㕡搲捡㤱敢㌰㉡㠲愲㐱ㅦ㘳っ㙡㘹㐹㐷つ㝡㌶㔳愶愲ㄱ㑢㈱户敥㉥㑦㤹昰㔱㐲〳㤳〶攴慡愸挶㤵扤戲慦戶㍡ㅤ户戰㐳㔶㔶ㅢ㜶改㤱ㅤ搱㑥ち㌹〷ㄶㄴ㌶㌵ㄹ挳㔶〹㍡ㅣ摡㑥㤰㡦搱㥢ㅦ昵攰㠳ち改ぢㄳ敤扡づ〶搳㔷㈵㔶慢愰搳㐹㤹㉣捥㐶摢攲㉡晢㝣慦戲㐰㐷攵㕣敤挳扤ㄴ攳㙡㠰㘷晥晢戳㕢慥㝥敡㤷ㅦ挷㝦ㅦ㠴〸挹㘲搰㐷㌱挸敦㙣攲㡦㉣挶戵昸㤳㕥㙤㑣愳挷搳㔱搳慥攰㑦㤱㔱㌳㘵扣昶㤰㉦愴㠳㤸㤲㡤敡㠲攸㉤ㅦ昵晣昹㔹捦㥢㈷昱晢㘴㉢㤸ㄳ㈲愴搷搵ㄳ㍢㤹慣慢慡摡搵搵攴㕦㌵戸㘷昴搷昴㉤〰扤㐳㡥㤳慢敤ㄸ攸搷愳慢ぢㄶ㐵捦愳㜲敢㡤昹摣㜰愵㔴㜵挵㝣㙥搶慥昸摥㘲㌵㜷㝤づ昶㜱㍥慣㉥扡摥慢摦㝦攵ㅢ戹㜹㜳挱づ捤㔷ㅦ慥攴㙣㜷㔱〴〸㑡捣挲愹㙤昹㈵㈷㔸㔲晦〱ㅣ搱扢ち㥦㜸昱慤㜷摥㝣㜴晣攷㕦ㅤ㝢敥昱户㝦晣㥣晡昷㜸愰捤㙤㤳摥ㅡ㑥㌶〶〹戶ㄱ㙣㈷戸㠱㘰〷㠰晡㍡㤶㔲愳愱摥㕣㡣㥢搰㌶㜶ㄲ摣っ〰扤㈴改〴戵㜴ぢ晢愸㤶搲㡡㑡㑦㤰慡挸搸㐵㜰㉢㠰㑡㔹愴搰㉡挶㙥㠰ㄵ㈹㑦昷戱㥤昲挳攸㑤ㅢ慢㡣愹㜴㌴㐹㝤㠳搸㌶㠸㕦㠳戸㔵㝦ㅢ攳愰つ㌹㉦挵〳慤㍥愹㐶つ摦㉡㘳搲㈷慦㕢敢〶㍦愰て㤳㜵敢戰㙢㠷㐱㡦㌵㔴〹扤扤㜶㌸ㅡ㠴ㄹぢ〰㔵戹㘴戳㌴㙣つ㡢〶慣㈳戶㔸㍣〴㉥扢扣㝤〸攱捡㐸〵〴㤶敡攳戲昶昱㔱㙦挲ぢ㐷敤㘰挱㌱慢㔷㜵ㄸ㡥㐶㡥捥〹ㄷ㥥㤶て㠷敢㑣㤳扣㠵〵㔱敡㜰挷ㄹ慦攲ㄷ挵搸攸㝡昰搵搴㐸て㉡㄰㌵㘸㐱昵敡㤵㝤㤳〶扣搳㕥㈷㈰㥥敡ㅡ㑤㍤昵㡦㘲㡣ㄳ攲㑣戰扡㜱〰㔵㜰扣㐶晢扦㍡㡢㌴㜸㝦搴㘵㘹ぢ㘴㡤晡㝡攳昰㘲捣つ散㤲㐸挷慤〳戶摢ㄷ㔷㈷㉢㘱搳㠸戹戴㈹ㅥ㠱づ㤹㜴㐱晡愲改㤷搶〳㔵昰㌰㤴㠸㈴慡㡥㝦㙢㐳㜴戴㡤愲扣㕦换昱扣晦㈰㠴㝤〲摤挴㌵摤慣㡥㉡扤㉥㡥愸㌴㌸捦搴㙤扤㐴㜷扤㍢挵搶〱㘱扡㤲ち㌳㘱㘹㔴㥣敡㤳㌳〴ㄸㅣ㔹〲㐷㙣㙡㙥㑡换㙥㔸㐳戳㠱攷㔴㐲搱㔷慦㐹㐱㌷慣㘹攱㤸っ㠴㌲昵摡㔴㌱㐴愸㔸摦㡦㐱捥晡愱㄰㌰㤲㡣愹愴㑡㍡改慢㌰㙦昳㈳㈸㐳㙢愴㉡㝣ㄶ㑢㤶昷㜶慢㑦㍣捥昲挲㙥愵㔶㐹戳㈸ㅡ摤攷戳㡦㜴㈸㐹㥢㙡〱㜸愴攱愴昲捡搴晡ㄸ㘴昴㕡㔲敦㈱㤳挰〴㔱㍦㐵挷㐱昶㉥戴㡢愶攳㔴晢慣㌱户攸㔴㑡㘲摣㥣ㄵ㑥㑤㘷㝢㝥㜹㥤搰㑢㘶㌷㈳㕡慤㠲㤷㌸晣ㅢ㐳㡡戳ㄶ㔷慤㔹捤㈹挶㈴搰㉡㑤㉥昶㐸ㅢ〷搱㈲㘹ㄸ搴㝣攲戰㤲㌶㝦攳㜲㔲㐴收摤愰摡摡扡愸搳攸㘲搷㈳㔳㈹㜱つ搳挶扤㜱て㔹㠳㔲㐳搷㝥㍢敡㕡㌷㜲㈵挹愴敢晡㕡つっ㜰㠵昲㝥散㘳㐱改㐵㙤戸㐷㤱㜰㌰〲㙣㜵捥ㅢㅣㄱ㘹晢愵ㄲ愴户搵㑦つㄶ㌹づ㠷散搰ㄱ㍤㤶ㅣ㤷昵ㄴ㐵㠲搸散戶づ捤挱搱ㅤ敤戵昶昹㜶挹戱㕤㐱㈷〴㔹㉣收㍡挷挵㜱攴㕢愶扣挰㘶㍥扤搷㍡攴㥢㙥戰挰㜸愶㔸摤搸搴㤲挴搲慣㘱摢㠵〰㐵㘷戲摥㙦捤捣㜹㡢㐸挹㔷捡敥㍥㜳㈱㔸ㄷ㠴㠲ㄶ㡡㑢㈴㔵〹㌵㤱㔰㔳㠹搴㕡㙤ㄵ㌸ㅣ㕢搲㘵㑥㄰挴愴㘲㥣扥㡡扣㤲㑡㜱戶㡢昲捡㍢㌵㘵戴㍢㠶摡昵敦ㄹ㌲敦㌰捤㌵㌳〰户敦㍢㍣戶㥣㈳晤㔴摦㈳㌴㘶ㄶ㔶㌱〵㤲㉤敡〹ㄹ愶㈹晡㈲㔶㘱ㅦ㌹挷㤰ㄴ㘷慢㤵晤搲㤶㥣㐳㑥㠴昵攴㜴㔶昷㈲㔴捥㐰昰愱㝡㤱㘲㠰捥敤㡢ㅡ㜴攷捡愶ㄳ挴㘳㈳㕥戹㙣㤲戵挸㤶㌳搰摢㈲㈵㝤㙢㘸ㄲ挳〲㤰晣ㄷ㜷㤹㑢攸㌲㤷㘴ㄷ捣㌱㤳慣戲捥扤扣攳愶㙦㠷㜳㘵扢㤸㘲㠳㠹搰㜵挱㤳㘰㈱ㄹ搶〳愱㉣㤲㌱攱愸戶愶㌳愲〸ㅣ攴捥㈳㜶㈰敡㐸㝥㜰㙥㐲摡㜰㜵㡤ㄹ㉣戰慦㔴昶挶㘱散愶㌱昳〳戵て㠸搲攰㠰愱㐷㉡㈱㌵㠷㝥づㅢ㐷〰㙡㈵挹摣捥慡㐹〵挶昸改㜱捦㉣敤㐵慥摣昳扢攳敦㘷㈹㤰㤶㉡挵捦㌲㤱㌴㠲㉣㉣戲扢愷攰〷晢㈹㜶捣㈰㐵㤳㘴ち㑡㡦㘸㐸摣㈸㥡搶㤳敡㜴搶㔸㙤慦慢攲㠰扢昱㘳攰㔸摢晥敦ㅥ摣〹捤捡㘷挹攴挲㔱㔴㡤㍢〱㔴愶愸昸㥥㤶〹㜷㜱挲㤷〱㌴㘶㉡㕡愵㘴挵愴ぢ扦㠶㘸㘵㈶㠳㔲㘵㍥〷敥㠶㡥ㄴㄱ㤲㑡㐰㠹摥㤳㘲㔲挶戸ㅢ攰㙦愷㑦㌳㌸㔶㔴㘶㌵㙡攷㐷愹㍥㜹挱㝢搰㙤摣换〹っ搲㘵摡昱㜲㔴ㄴ愳㐰ㄸ〷㈴挷㔰㠵戱㔶愹㡡ㄸ㤴搴㑡〳㈵攱㑡㥢攸收㉣挶昸㜴愷㐹搰㌳戹㘶㉡㜳〱㜴捦ㄴ㘳㤶㠰㘷㑢晦愰㠴ち㌷㘳㥡㠰㍥㐲㔴㔶戴㘲㉡昳〵戴㘴捣〷攰摣ㄶ捤愹㌲㤳㐰敤㘹〸〰㤵㈹〵攲〰㌳㈳㈶㍤㡥晡㤹㤹㤴愹㠷㌶㈶㔵㠹摥ㅡ㘲㔱慤㔱摥㐶搵㌸〱愰㌲㉦搱㘱挲㍣㈷㌸㥣㐰㠶㈱昵㡤㌲㐰㥤㘰挳㘸搴㤶ㄱ改㌱㐷戹㥣攸〱㘸っㄹ捦㉥㐴愵㤸㘴ㅢ昲〶㔴慡挱〶敢㘰挵㜴昰敤㜲ㄲ捥㙢挸慥昵愰戵㤲㔱〸搱晡㔹慤昹㤳㈶愲㙦昹㠴扢敦攵换㕡㜱搰㍣㌷㝥㕢挰㤹㙢ぢ㌱搲摡愳㐸攲㥣摤㈹㘴㡦敥㔳捣搸ㄶち㑡㡡㘷㔲㔲搳挶㐹㐲戰㌳㐳晢㜶ㄶ㘲㄰摡搶慢搱㘱㕥挵摡户㜸攷㕣扦㘹㔹㌷搱ちつ㌸晣㤹㐲㈷愵搶㙣昴〳ㅥ㑦㠷扣敤づ㉡晤〱搹㕢㠹㉢㔲昱㔰愷㥦搱㡣搰昶㈰敦㐰㠳ㄲ㔶ㅤㄸ㜱㔶㤹攵㡣㙡搴㕡搱㌰㉥敤昹㠸㐸㤲慤摦㌵敡㙢捦挷㔶㍤攷戵㝣㐷㤲换㌸㐲㝢愵㝤ぢ㈴㕡㜱㍤㕦戰㑣ㄵ慥㘱搱ㄷ〱捥㍢㘰ㄷ㝤㉦昰慣㌰㌷〳㐷㌴挷㉦㡢ㄶ㐲㤲㈱敤㥢搸戱攳㤹㝣㔸搲攵㘷㝥㐹攸昴扣敢㉤扡昲㌶㕡挰て慣ㄲ㕦摤摤㍣㠶㠱㡡㉣㔷〲㡢搹㥡㙤换ㅥ㡤㝢戳戴っ㉣㔹㥡〱㤶㉣㑤〱㑢㍦㤵㌷㤷搳㉤㍢愷㈵㑢㤵㑦㌲敡㔵㠰つ㈳挳㠵收㥦㌲攸昷愱㍢㠳㙥㘹ㅣ愷昱㔱㔲扦ㅦ㍤㝤攸㘹㜰㌰戳戴ㄹ摣挵㜸㠰㠰㌷㤵㍦㄰㔰㘹㌷愸㤹搲敡搷㠰㐰㑡㑥㈴〱て戱てㄲ㜰っ㝦摢昹捣散搸㍢㡢㕥ㄹ㌶㍥捣㘱㥡㠴昶㤵㔲愱㘳挴昸㝡㍣捣攳搴攳〰㠷㔹戹ㅦㄷ㈰㙦愰慥ㄸ㈴㌸㘹慢㔶搱㐳晡㌶搳㠷㉡㥢㈵㝢㈲晡慢㘴愹愳㔹戲搴搳㉣晤㔴搱㥦つ㔹愸搸㈵㐲㐹ㄶ㠳㐴㌰㠸昷㉣㜵扤散晦㌶扢ㄸ㠴ㄹ晤〰㉡㔵㡡㐴挷㈳愸㜰㠲㝣戸㤴㘵㌴敡㡥ㄴ愷㘴㉢〰㘴㕢攳㔱㠰摥㉥㤵㌴敢㘵㝢ぢ挱昵〴㜹〰搵〱㑥㍡收昸攷攳㠱戶ㅣ晦㐳㕣挶昵摦〵愸摦㐲搲㡢扤㌵㤶㤷户㈰㠵攴㉤扥㠷ち㙥挱〷㜵扡㐵㘹愵㕢ㄴ攳㠱搶㘴㝡㤶㈸㤰㍢㍦㡤㡡昱っ挱戳〰搰摣㠰搷慤㥣挶㡤㕣晦攵ㅦ㌹㄰戱㥡㐵㈵搵㘳㐵扦㌱愰㥤㤱搹㔳㐷㑡㜸〶㔱㠰㡦㥦ㄹ㡣㈳愸㠵敦㡦㕦搹挴挲㠳㘰㤷摥㔸捤捦㌴㘴㡢㡢㜵㙢搲㠷攳搹㙤㡤〵〸㥤㑢㈹㝣扢ぢ昱戳て㜷㍤ㄸ㕢攸摣㘴〲㑦〶攵㤸昰㑥㜴㔴㜷搴㘳慤㝥㘹㐳㝥㘰ㄹㅦ戵ㅣ㔱㠲挱挳摡㑣慤晥ㅣづ㕢晥摥㉣昵㙢㤰㔰扦〲扡㑢㜱晤捦戶㡢愵㈴㈳㐰㔱㡣ㅦ㘰慥晥㐳㕥ㅥ㥦戸搴攸ㅤ㌰戵㍦㐲㑦攴搵㕤㡥㥡㤲㈵㘳㑡摥昸〹〷㝥㑡昰〲㐰㕡㈵ㄷ㤲㍦っㅥ㥡㔰て㜷㍣攴㐵㑥攰㈱换〷晣㠲㕤摣㕢〲㐵㈳捦摤戲㌲㡦㌵㈸捤〱搸散愶ㅦ㥢散挱㡦㐷慡扣㜹ㄷ挲ㄱ㑤㉡摣㘴攲㡢㙢摢㑢㌲ㅢ戶愲挱搰愶昰㤸㑦戱て挵㜵搹㘰㜲挷㉦攱㝦㉡愱慢㤴㉤㍥㔸㥤挴〹㍣㠵敥㙦ち㘱攵戳戵㠱㠹㜸㘰㌷㍡㡣㕦〱㘸㈴搴㔹㜳㄰㡦㕥愳ㅦ昳㙢㉣㔵㐹㝥敥㘱晣㈶慥戰愱㤲昶昲摡户挷户慢扤㠷晣㈰〷挶㕡摥㐳ㅥ㤱〳晢ㅢ摦昳㌲㌷㈳㑦昰㑤挶敦搹㈲㍢挸〳晦㄰㔷搸攸攷挳㘹收ㄳ㑢㙡昱㔸改搸戱て晢㤳戹捤挹㍢㙦换㍣晥慦搷摦㝡散㡤㝢㜶晤晢愳㈷㥦㝣攳敤挷㑥㝦昴挷搹㕤㝦㝤晥昹㔷㙥㝦收昴㕢ㅢ慤㘷ㄳ㉦㝤㌸晥散〳㠳昳て㥣戴づ㕦户敦㠱扢㑥ㅣㅣ㥣摡㌰搰搵搵摤㝤捤愶搷㉥扡㌶晢搰挹摦愹㝦㜹昳㐲㔷㤵㡦挵〱㜵ㄵ㡢扡㤲攵愳㈵戳晦〹㤵摥慥㝥摥昷㌳扤㠶㐴〱づ㘹扥〶㔱㈱慦昱㘷㜹つ㤵户㤱挸扣㉤㐶收㌰㍡㔲㠸㉥㌹㉥〷㜶㌷て昴晣ㅦ㍢㜸愰搴</t>
  </si>
  <si>
    <t>(-9,28864306738825E-13)*x^3</t>
  </si>
  <si>
    <t>㜸〱挵ㄷ㑢㙣ㅢ㔵㜰㜷㙤慦㜷敤㌸㜵㠵捡愷㉤戰搰㤴〲㉤㡢㥤㑦敢㐸㐴㘰㍢㑤戱㥡㈶㈱㐹㠳㤰㐰㑦晢㜹㐹戶摥㡦扢晢搶㡤摢ㄴ愱㕥戸挲㠱〳愵ㅣ㝡改㠵㜲攰㔰㠹㌳愲ㄷ愸㠴㤰攰㔰挱㠵慡ㅣ㤰㄰㈷〴㕣㄰捣散㝡ㄳ㌷㡤ㄲ㕡㔵攲㐹㥥㝤㌳㙦摥捣㥢昷收㘷㡥攷㌸敥ㅦㄸ昸挵㤱挶挹摥戹㑥挰愸愳搶㍤摢愶〶戳㍣㌷㔰慢扥慦㜵㈶慤㠰愵㠰㐱㈴ㄶ慣〷ㄹㄲ㔸㘷愹㐴摡搴て㠰㈹挳㜱㤲㈴ぢ戰㡥㐲昰㔷㑣㄰ㄹ㜷昵愵〱捣搷㙢搳晡㈹㤰㍡挷㍣㥦ㅥ㔲ㄶ攲扤㘳攵戲㕡㔶〷㐷〷て慢愵㐳㑡㍤戴㔹攸搳㌱㤷㠶捣搷散㐳捡㑣愸摢㤶㜱㥣㜶收扤㈶㜵挷愸㕥ㅡ搲戵攱㑡㜹㜸㘴㘴㜱㜴戴搲〷慡戹愹改㝡㑤㥤愲散〱挹捣攰㤱㕦ㅣ愷㠶㠵戶㔱敡㕢敥㤲ちㅡ敥㌸扦㍡摤㘲敡昴㕣㙣㤱搵愶㔹㌴㤳捣昸㜴㤱晡搴㌵㘸搰㑦㡥慥ㄸ搴慥㔳摢㥥愵㡢㐱㥥ㅣ昳扤戰搵㜰㑤扡㤲㈶ぢ㥡㉦㤱㘳愱㘵㥥搰㕡〵攷㘴㐰㘷㌵㜷㠹㑥㘹づ捤㌸㐸ㄶ搲㕣㍡挵愵捡摢ㅤ愲㕥㍢愲摥愱〶㉦㕡㔲㌶㙣挳敢㠱攳ㅥ愷扥㑢㙤ㄵ㡥㡣㤷戶搹㔳扦慡〵换㑣搳㙤捡攷扢㡥㠰㠷㐱㤹㌹㔹〴㠸㐳㐶㑢㘵〹〰㥦晥ㄳ晣愷㤷㌳て㔴㠱㘸〲搱〵㘲〸挴ㄴ〸ㄵ挸愲㐰㤶〴戲㉣㄰㑢㈰愷〴搲〴㥥㘴㐸搹慣搰ㅤ㥦㍦晤㑤敤昶〷搷挶慦晤昲挵愵扦づ戸㝦㘷㔰摦扤摢㡦㙥㈷㐷㔷〸㉥ㄳ㘴㥣〹捦て㔲愹㉤㙤摤㜲ㄱ㙤㤷㜳〸搰戶っ摡扥敤敤㍥っ㑣扣挶敢㔹〷㉥晤挴㤲㥦㜱攲㠷ㅤ愷㠱㈱㍢昰昴㤱ㄳ㠸㌰戳㐳摡攷搴㍤㤷搱ㄵ㌶慥㌱㉤敢捣㘸攰㍤慣ㅦ㌶〲摦挱慥㠰扥〴㐵㌹㙢〸㡡㉢㈶㉢㠹搴挲㍡〱㠴㍦㤴㘰㍤㍡搶㘴挷慡攴㐸てち㡥㘷㈸戵㄰搱ㄲ㤱戹㉥〶昲㡡搱戴㐷㔸㍥㈲挴㤲搲改㌴て愱㥦㑡㍥㌱昲摣㜶扥㠸㘹愶㑤㈷㐲㑣㈲摣挱晦挶㍤摦㘹搱〰昹昷㙤捤ㅦ㕦㍦昰㐹攲㤶慦㍣戰㤹ㄸ㐳㍦挹㉣㍢㔰挱挴㈸㜴晦て㝤て敡摣㜸昶㕣收㜷〸搷㝢戹㘱㑣攴搹㌶㝡㈹㈱㥣㠴㌲㤰㤲ㄳぢ〰昳㍤戹㑦散〷㐲㔴㑣昰㡢㐳摥〱㈰㤷㤳㤱㔳挶㔵慣㌴昰㠹㐶扣戸搵㕡ㅡ搳换㤶㉦㠶㠱㤸㥢昴㌴㜳㐲㌳愰㥣㘴扢挵㐴慡㝢㑥ぢ㐲挸㉦㘲㉡慢㝢㈶㥤昱扤戶㘵㔲㕦㐲挲ㅣㄴ慤㌴㈶〶㌱㡡扤〰扣㌵挵㘵㌲㜹㘹㌳㕤㡤㐴搶挰㈶㐵戱㜱㤷晣㕦㕦慢扣㕣挶㔳攵㌰㔳挸㤸〴攴㐷〰昰㤸㍤搰ㅥ㘴㠸敥㉦㘶㜸ㄴㄹㅥ㐳〶攴摦㠴㘱㌷㌲散㐱〶扣捣㠴㘱ㄸ㐴㜴㔵散㐵㠶挷〱ㄴ愳㡣㠳㑣挸挵ㄵ㈳戵㌰㤱㥦㐰っㄵ愱㕥昱㐹〰晢敢戵晡㉣愹㘸㐶㘵戱㌲㕡ㄹ愲愶㌶㍣㔸㈹敢㐷㠶㉡〶ㅤ㌵捤昲㤰㜱戸㌲愸ㄷ愳㜳〱扢慣〰㈸攲㐹㔰㠲晣ㄴ㘲搱㤱㄰㔳㄰挳㐳愰㘷㠸晢〰散慣搷㐸㕣ㄱㅢ㈶愴㌱㡢㜵挴〱㈰昷㈳戹挵收攸改㄰㑢愳戸ㅦ㘸㠵㤸㔶㌵摢㜳㑣㘳攲㌳㐰捡㤲愳愷攱戹㕡攲㠱昵㜵㈸㙥㜶㘸搲㈲㥡㠹㙡攴㘷〱挴㘶㐶㝥㈵㍥て㜸敢摣敡慣攷戱㔵㐸昶搴搰〲ㄶ慣ㅥ㔶㤵㕡㘸㜶㕣摡㔴㜴㉢昴扤㌳ㅤ攵〵〵㑡㜳㤳㜵捥戸摥昵㡦扥㝣㔷㘹㙡㉤㡢㘹搷㉦㠴㡡攵㥥愱〱㌸㤱㐶摡㠳敡㡡ㅤ慣慣捥昸㘷㘹敢晡㠵づ㙣戳㤴愹㤹㠵㔵昸愹ㄳ㡤愹敡攴㐲㜵昲攴搱昳ㄲ捦㘵昱㙥愳㕢挱㤲㤳敡慤㠲晣昷攰散㔸ㅡ慦扥㝦攱捤㥢挶て挷㍥㝥攳挶㡤㍦㡣㕢扦昱摦㜵ㄷ搸挵慢户㝥扥昹摥攴愷攷ㅢ㤷㍦扣㝤攵㜲㐶〱ㄹ愵つ㐹攸慥㡥㘳㘳戱挷ち戹换㘹〴搰㕥㐰㉢㌵敦㔵搷㥡㠸㥤㤱㝢〳晤㘰㔲ち昷慦㔳慡㝡攰搹㈱愳挹戶㘹㝦㙤ㅦ㈴㝥〸昶㘸ㅦ摣攵慥㜵慣㈷攵敦㔹愷㌶摣㠰晡㡣㥡㠹挴㠰攳昹戴㤰攲㐷戶戳〴㥣〱㝢愷戸挸㈵ㅤㄲ㤶摡㍤㥢㠴㕡捤㘲㔱ぢ㡡敢扣㡣㑥㉣慡〰攴戱㠱敡㐰戹㔴㉡㤵㌳摦挲戵摥㥦㑥昴敡昵っ㠷ㅡ㜰攴攴ㄲ㐰ㅥ扤ㅤ㐵㈳愹て㐳ㅢ晡愸㜱捦搱㉣昷㐱㌵㥡攸捣ㅢㄳ㜲昴散戱㥡戵㡥㌳㠹㈶㡣㠰㍥㘷摡搰攷㝤ㅡ㜵㡢㔲㠴㐰㌵㉣㌸慦㝢㝥㔳昷扣㈶㤶昲晥〸ぢ㤶㈹㘵搸挰攵㥤㌸㈸㜱捥昳㝣敡づ㙦敤昵㕣㌴㔲ㅣ〴㔰愸摡戶㤲㐸っ挴㈱㈰愵㐰㠶㌸っ㤳㤷㐶敥㉢戸慣㈸戴昸慦扢㈱㜰戳昲搳敥㜳㙦扤晤捡㈷㥦㕤㝣挷扣昴攳ㄲ晦㔵㜷㘱㘳㈳㤸挶户搸捡㉦戰㕢捦㍡㐴挳扦㈹㤲㐳㙣敡㉥戱攵戵扦㈶㔰㈸㈴昸㙦㜲〴㤸㌰㔰㜱散㐰〴㕦㕥㐲㉣晦㉦㜱摢攰搹</t>
  </si>
  <si>
    <t>konstrukcja (kwota stała )</t>
  </si>
  <si>
    <t>konstrukcja</t>
  </si>
  <si>
    <t>koszt budowy pln/1m2</t>
  </si>
  <si>
    <t>min</t>
  </si>
  <si>
    <t>max</t>
  </si>
  <si>
    <t>NPV</t>
  </si>
  <si>
    <t>IRR</t>
  </si>
  <si>
    <t>koszt budowy 1m2</t>
  </si>
  <si>
    <t>udz.wł.</t>
  </si>
  <si>
    <t>od 7000 zł/m2 do 13000 zł/m2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</si>
</sst>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 _z_ł_-;\-* #,##0\ _z_ł_-;_-* &quot;-&quot;\ _z_ł_-;_-@_-"/>
    <numFmt numFmtId="165" formatCode="_-* #,##0.00\ _z_ł_-;\-* #,##0.00\ _z_ł_-;_-* &quot;-&quot;??\ _z_ł_-;_-@_-"/>
    <numFmt numFmtId="166" formatCode="#,##0.00\ _z_ł"/>
    <numFmt numFmtId="167" formatCode="#,##0.00\ [$PLN]"/>
    <numFmt numFmtId="168" formatCode="#,##0\ [$PLN]"/>
    <numFmt numFmtId="169" formatCode="#,##0\ _z_ł"/>
    <numFmt numFmtId="171" formatCode="#,##0.00\ &quot;zł&quot;"/>
  </numFmts>
  <fonts count="30"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CE"/>
      <charset val="238"/>
    </font>
    <font>
      <sz val="10"/>
      <name val="Arial CE"/>
      <family val="2"/>
      <charset val="238"/>
    </font>
    <font>
      <b/>
      <sz val="10"/>
      <name val="Arial CE"/>
      <charset val="238"/>
    </font>
    <font>
      <b/>
      <i/>
      <sz val="10"/>
      <name val="Arial CE"/>
      <charset val="238"/>
    </font>
    <font>
      <b/>
      <sz val="10"/>
      <color rgb="FFFF0000"/>
      <name val="Arial CE"/>
      <charset val="238"/>
    </font>
    <font>
      <b/>
      <sz val="12"/>
      <name val="Arial CE"/>
      <charset val="238"/>
    </font>
    <font>
      <b/>
      <sz val="11"/>
      <color theme="1"/>
      <name val="Calibri"/>
      <family val="2"/>
      <charset val="238"/>
      <scheme val="minor"/>
    </font>
    <font>
      <b/>
      <sz val="11"/>
      <color rgb="FFFF0000"/>
      <name val="Calibri"/>
      <family val="2"/>
      <charset val="238"/>
      <scheme val="minor"/>
    </font>
    <font>
      <sz val="10"/>
      <name val="Arial"/>
      <family val="2"/>
      <charset val="238"/>
    </font>
    <font>
      <b/>
      <sz val="16"/>
      <name val="Calibri"/>
      <family val="2"/>
      <charset val="238"/>
      <scheme val="minor"/>
    </font>
    <font>
      <b/>
      <sz val="14"/>
      <name val="Arial CE"/>
      <family val="2"/>
      <charset val="238"/>
    </font>
    <font>
      <b/>
      <sz val="14"/>
      <color indexed="9"/>
      <name val="Arial CE"/>
      <family val="2"/>
      <charset val="238"/>
    </font>
    <font>
      <i/>
      <sz val="10"/>
      <name val="Arial CE"/>
      <family val="2"/>
      <charset val="238"/>
    </font>
    <font>
      <b/>
      <sz val="10"/>
      <name val="Arial CE"/>
      <family val="2"/>
      <charset val="238"/>
    </font>
    <font>
      <i/>
      <sz val="10"/>
      <name val="Arial"/>
      <family val="2"/>
      <charset val="238"/>
    </font>
    <font>
      <b/>
      <sz val="12"/>
      <color theme="1"/>
      <name val="Calibri"/>
      <family val="2"/>
      <charset val="238"/>
      <scheme val="minor"/>
    </font>
    <font>
      <b/>
      <sz val="16"/>
      <name val="Calibri"/>
      <family val="2"/>
      <charset val="238"/>
    </font>
    <font>
      <sz val="16"/>
      <name val="Calibri"/>
      <family val="2"/>
      <charset val="238"/>
    </font>
    <font>
      <b/>
      <sz val="16"/>
      <color rgb="FFFF0000"/>
      <name val="Arial CE"/>
      <charset val="238"/>
    </font>
    <font>
      <b/>
      <sz val="14"/>
      <color theme="1"/>
      <name val="Calibri"/>
      <family val="2"/>
      <charset val="238"/>
      <scheme val="minor"/>
    </font>
    <font>
      <b/>
      <i/>
      <sz val="16"/>
      <name val="Arial CE"/>
      <charset val="238"/>
    </font>
    <font>
      <b/>
      <i/>
      <sz val="11"/>
      <name val="Arial CE"/>
      <charset val="238"/>
    </font>
    <font>
      <b/>
      <sz val="11"/>
      <name val="Arial CE"/>
      <charset val="238"/>
    </font>
    <font>
      <sz val="12"/>
      <name val="Arial CE"/>
      <charset val="238"/>
    </font>
    <font>
      <sz val="11"/>
      <name val="Arial CE"/>
      <charset val="238"/>
    </font>
  </fonts>
  <fills count="14">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0FFFF"/>
        <bgColor indexed="64"/>
      </patternFill>
    </fill>
    <fill>
      <patternFill patternType="solid">
        <fgColor theme="7" tint="0.59999389629810485"/>
        <bgColor indexed="64"/>
      </patternFill>
    </fill>
    <fill>
      <patternFill patternType="solid">
        <fgColor indexed="22"/>
        <bgColor indexed="64"/>
      </patternFill>
    </fill>
    <fill>
      <patternFill patternType="solid">
        <fgColor rgb="FF92D050"/>
        <bgColor indexed="64"/>
      </patternFill>
    </fill>
    <fill>
      <patternFill patternType="solid">
        <fgColor theme="1"/>
        <bgColor indexed="64"/>
      </patternFill>
    </fill>
    <fill>
      <patternFill patternType="solid">
        <fgColor rgb="FFFFC0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4" fillId="0" borderId="0"/>
    <xf numFmtId="0" fontId="13" fillId="0" borderId="0"/>
  </cellStyleXfs>
  <cellXfs count="177">
    <xf numFmtId="0" fontId="0" fillId="0" borderId="0" xfId="0"/>
    <xf numFmtId="0" fontId="0" fillId="0" borderId="1" xfId="0" applyBorder="1"/>
    <xf numFmtId="166" fontId="0" fillId="0" borderId="1" xfId="0" applyNumberFormat="1" applyBorder="1" applyAlignment="1">
      <alignment horizontal="right"/>
    </xf>
    <xf numFmtId="166" fontId="5" fillId="0" borderId="0" xfId="0" applyNumberFormat="1" applyFont="1" applyAlignment="1">
      <alignment horizontal="right"/>
    </xf>
    <xf numFmtId="166" fontId="0" fillId="0" borderId="0" xfId="0" applyNumberFormat="1" applyAlignment="1">
      <alignment horizontal="right"/>
    </xf>
    <xf numFmtId="0" fontId="0" fillId="2" borderId="1" xfId="0" applyFill="1" applyBorder="1"/>
    <xf numFmtId="166" fontId="0" fillId="2" borderId="1" xfId="0" applyNumberFormat="1" applyFill="1" applyBorder="1" applyAlignment="1">
      <alignment horizontal="right"/>
    </xf>
    <xf numFmtId="166" fontId="0" fillId="2" borderId="1" xfId="0" applyNumberFormat="1" applyFill="1" applyBorder="1"/>
    <xf numFmtId="0" fontId="6" fillId="3" borderId="1" xfId="0" applyFont="1" applyFill="1" applyBorder="1"/>
    <xf numFmtId="166" fontId="0" fillId="3" borderId="1" xfId="0" applyNumberFormat="1" applyFill="1" applyBorder="1" applyAlignment="1">
      <alignment horizontal="right"/>
    </xf>
    <xf numFmtId="0" fontId="0" fillId="3" borderId="1" xfId="0" applyFill="1" applyBorder="1"/>
    <xf numFmtId="166" fontId="0" fillId="3" borderId="1" xfId="0" applyNumberFormat="1" applyFill="1" applyBorder="1"/>
    <xf numFmtId="0" fontId="0" fillId="4" borderId="1" xfId="0" applyFill="1" applyBorder="1"/>
    <xf numFmtId="166" fontId="0" fillId="4" borderId="1" xfId="0" applyNumberFormat="1" applyFill="1" applyBorder="1"/>
    <xf numFmtId="0" fontId="0" fillId="5" borderId="1" xfId="0" applyFill="1" applyBorder="1"/>
    <xf numFmtId="166" fontId="0" fillId="5" borderId="1" xfId="0" applyNumberFormat="1" applyFill="1" applyBorder="1" applyAlignment="1">
      <alignment horizontal="right"/>
    </xf>
    <xf numFmtId="0" fontId="0" fillId="6" borderId="1" xfId="0" applyFill="1" applyBorder="1"/>
    <xf numFmtId="166" fontId="0" fillId="6" borderId="1" xfId="0" applyNumberFormat="1" applyFill="1" applyBorder="1" applyAlignment="1">
      <alignment horizontal="right"/>
    </xf>
    <xf numFmtId="166" fontId="5" fillId="6" borderId="1" xfId="0" applyNumberFormat="1" applyFont="1" applyFill="1" applyBorder="1" applyAlignment="1">
      <alignment horizontal="right"/>
    </xf>
    <xf numFmtId="166" fontId="9" fillId="0" borderId="1" xfId="0" applyNumberFormat="1" applyFont="1" applyBorder="1" applyAlignment="1">
      <alignment horizontal="right"/>
    </xf>
    <xf numFmtId="1" fontId="0" fillId="2" borderId="1" xfId="0" applyNumberFormat="1" applyFill="1" applyBorder="1"/>
    <xf numFmtId="1" fontId="0" fillId="2" borderId="1" xfId="0" applyNumberFormat="1" applyFill="1" applyBorder="1" applyAlignment="1">
      <alignment horizontal="right"/>
    </xf>
    <xf numFmtId="165" fontId="5" fillId="4" borderId="1" xfId="0" applyNumberFormat="1" applyFont="1" applyFill="1" applyBorder="1" applyAlignment="1">
      <alignment horizontal="right"/>
    </xf>
    <xf numFmtId="165" fontId="0" fillId="4" borderId="1" xfId="0" applyNumberFormat="1" applyFill="1" applyBorder="1"/>
    <xf numFmtId="0" fontId="10" fillId="0" borderId="0" xfId="0" applyFont="1"/>
    <xf numFmtId="0" fontId="4" fillId="0" borderId="0" xfId="1"/>
    <xf numFmtId="11" fontId="4" fillId="0" borderId="0" xfId="1" applyNumberFormat="1"/>
    <xf numFmtId="0" fontId="7" fillId="0" borderId="0" xfId="0" applyFont="1"/>
    <xf numFmtId="0" fontId="0" fillId="0" borderId="0" xfId="0" quotePrefix="1"/>
    <xf numFmtId="0" fontId="12" fillId="0" borderId="0" xfId="1" applyFont="1"/>
    <xf numFmtId="1" fontId="12" fillId="0" borderId="0" xfId="1" applyNumberFormat="1" applyFont="1"/>
    <xf numFmtId="0" fontId="0" fillId="0" borderId="1" xfId="0" applyBorder="1" applyAlignment="1">
      <alignment horizontal="center"/>
    </xf>
    <xf numFmtId="2" fontId="0" fillId="0" borderId="1" xfId="0" applyNumberFormat="1" applyBorder="1" applyAlignment="1">
      <alignment horizontal="center"/>
    </xf>
    <xf numFmtId="12" fontId="0" fillId="0" borderId="0" xfId="0" applyNumberFormat="1"/>
    <xf numFmtId="0" fontId="11" fillId="0" borderId="0" xfId="1" applyFont="1"/>
    <xf numFmtId="0" fontId="8" fillId="0" borderId="2" xfId="0" applyFont="1" applyBorder="1" applyAlignment="1">
      <alignment horizontal="center"/>
    </xf>
    <xf numFmtId="0" fontId="8" fillId="0" borderId="4" xfId="0" quotePrefix="1" applyFont="1" applyBorder="1" applyAlignment="1">
      <alignment horizontal="center" vertical="center"/>
    </xf>
    <xf numFmtId="0" fontId="14" fillId="0" borderId="0" xfId="0" applyFont="1"/>
    <xf numFmtId="0" fontId="9" fillId="7" borderId="1" xfId="0" applyFont="1" applyFill="1" applyBorder="1"/>
    <xf numFmtId="0" fontId="15" fillId="0" borderId="0" xfId="0" applyFont="1"/>
    <xf numFmtId="0" fontId="16" fillId="0" borderId="0" xfId="0" applyFont="1" applyAlignment="1">
      <alignment horizontal="center"/>
    </xf>
    <xf numFmtId="0" fontId="17" fillId="0" borderId="0" xfId="0" applyFont="1" applyAlignment="1">
      <alignment horizontal="center"/>
    </xf>
    <xf numFmtId="0" fontId="0" fillId="10" borderId="1" xfId="0" applyFill="1" applyBorder="1" applyAlignment="1">
      <alignment horizontal="center"/>
    </xf>
    <xf numFmtId="0" fontId="18" fillId="10" borderId="1" xfId="0" applyFont="1" applyFill="1" applyBorder="1" applyAlignment="1">
      <alignment horizontal="center"/>
    </xf>
    <xf numFmtId="1" fontId="19" fillId="2" borderId="1" xfId="2" applyNumberFormat="1" applyFont="1" applyFill="1" applyBorder="1" applyAlignment="1">
      <alignment horizontal="center"/>
    </xf>
    <xf numFmtId="0" fontId="0" fillId="2" borderId="1" xfId="0" applyFill="1" applyBorder="1" applyAlignment="1">
      <alignment horizontal="center"/>
    </xf>
    <xf numFmtId="10" fontId="9" fillId="0" borderId="1" xfId="0" applyNumberFormat="1" applyFont="1" applyBorder="1"/>
    <xf numFmtId="0" fontId="3" fillId="0" borderId="0" xfId="1" applyFont="1"/>
    <xf numFmtId="0" fontId="11" fillId="0" borderId="20" xfId="1" applyFont="1" applyBorder="1" applyAlignment="1">
      <alignment horizontal="center"/>
    </xf>
    <xf numFmtId="0" fontId="11" fillId="0" borderId="16" xfId="1" applyFont="1" applyBorder="1" applyAlignment="1">
      <alignment horizontal="center"/>
    </xf>
    <xf numFmtId="1" fontId="11" fillId="0" borderId="22" xfId="1" applyNumberFormat="1" applyFont="1" applyBorder="1" applyAlignment="1">
      <alignment horizontal="center"/>
    </xf>
    <xf numFmtId="1" fontId="11" fillId="0" borderId="19" xfId="1" applyNumberFormat="1" applyFont="1" applyBorder="1" applyAlignment="1">
      <alignment horizontal="center"/>
    </xf>
    <xf numFmtId="0" fontId="11" fillId="12" borderId="21" xfId="1" applyFont="1" applyFill="1" applyBorder="1" applyAlignment="1">
      <alignment horizontal="center"/>
    </xf>
    <xf numFmtId="0" fontId="11" fillId="12" borderId="17" xfId="1" applyFont="1" applyFill="1" applyBorder="1" applyAlignment="1">
      <alignment horizontal="center"/>
    </xf>
    <xf numFmtId="0" fontId="20" fillId="0" borderId="22" xfId="1" applyFont="1" applyBorder="1" applyAlignment="1">
      <alignment horizontal="center"/>
    </xf>
    <xf numFmtId="0" fontId="11" fillId="0" borderId="22" xfId="1" applyFont="1" applyBorder="1" applyAlignment="1">
      <alignment horizontal="center"/>
    </xf>
    <xf numFmtId="0" fontId="11" fillId="0" borderId="19" xfId="1" applyFont="1" applyBorder="1" applyAlignment="1">
      <alignment horizontal="center"/>
    </xf>
    <xf numFmtId="0" fontId="12" fillId="7" borderId="14" xfId="1" applyFont="1" applyFill="1" applyBorder="1"/>
    <xf numFmtId="1" fontId="12" fillId="0" borderId="14" xfId="1" applyNumberFormat="1" applyFont="1" applyBorder="1"/>
    <xf numFmtId="0" fontId="4" fillId="11" borderId="15" xfId="1" applyFill="1" applyBorder="1"/>
    <xf numFmtId="0" fontId="4" fillId="11" borderId="16" xfId="1" applyFill="1" applyBorder="1"/>
    <xf numFmtId="0" fontId="4" fillId="11" borderId="0" xfId="1" applyFill="1"/>
    <xf numFmtId="0" fontId="4" fillId="11" borderId="17" xfId="1" applyFill="1" applyBorder="1"/>
    <xf numFmtId="0" fontId="4" fillId="11" borderId="18" xfId="1" applyFill="1" applyBorder="1"/>
    <xf numFmtId="0" fontId="4" fillId="11" borderId="19" xfId="1" applyFill="1" applyBorder="1"/>
    <xf numFmtId="2" fontId="12" fillId="9" borderId="14" xfId="1" applyNumberFormat="1" applyFont="1" applyFill="1" applyBorder="1"/>
    <xf numFmtId="0" fontId="4" fillId="11" borderId="29" xfId="1" applyFill="1" applyBorder="1"/>
    <xf numFmtId="0" fontId="21" fillId="0" borderId="0" xfId="0" applyFont="1"/>
    <xf numFmtId="0" fontId="22" fillId="0" borderId="0" xfId="0" applyFont="1"/>
    <xf numFmtId="0" fontId="0" fillId="11" borderId="32" xfId="0" applyFill="1" applyBorder="1"/>
    <xf numFmtId="0" fontId="0" fillId="11" borderId="15" xfId="0" applyFill="1" applyBorder="1"/>
    <xf numFmtId="0" fontId="0" fillId="11" borderId="16" xfId="0" applyFill="1" applyBorder="1"/>
    <xf numFmtId="0" fontId="0" fillId="11" borderId="33" xfId="0" applyFill="1" applyBorder="1"/>
    <xf numFmtId="0" fontId="0" fillId="11" borderId="0" xfId="0" applyFill="1"/>
    <xf numFmtId="0" fontId="0" fillId="11" borderId="17" xfId="0" applyFill="1" applyBorder="1"/>
    <xf numFmtId="0" fontId="0" fillId="11" borderId="34" xfId="0" applyFill="1" applyBorder="1"/>
    <xf numFmtId="0" fontId="0" fillId="11" borderId="18" xfId="0" applyFill="1" applyBorder="1"/>
    <xf numFmtId="0" fontId="0" fillId="11" borderId="19" xfId="0" applyFill="1" applyBorder="1"/>
    <xf numFmtId="0" fontId="2" fillId="11" borderId="30" xfId="1" applyFont="1" applyFill="1" applyBorder="1"/>
    <xf numFmtId="0" fontId="2" fillId="11" borderId="31" xfId="1" applyFont="1" applyFill="1" applyBorder="1"/>
    <xf numFmtId="10" fontId="7" fillId="0" borderId="0" xfId="0" applyNumberFormat="1" applyFont="1"/>
    <xf numFmtId="0" fontId="7" fillId="0" borderId="1" xfId="0" applyFont="1" applyBorder="1"/>
    <xf numFmtId="0" fontId="7" fillId="0" borderId="12" xfId="0" applyFont="1" applyBorder="1"/>
    <xf numFmtId="0" fontId="7" fillId="0" borderId="5" xfId="0" applyFont="1" applyBorder="1"/>
    <xf numFmtId="0" fontId="7" fillId="0" borderId="11" xfId="0" applyFont="1" applyBorder="1"/>
    <xf numFmtId="167" fontId="7" fillId="0" borderId="7" xfId="0" applyNumberFormat="1" applyFont="1" applyBorder="1"/>
    <xf numFmtId="4" fontId="7" fillId="0" borderId="0" xfId="0" applyNumberFormat="1" applyFont="1"/>
    <xf numFmtId="0" fontId="7" fillId="0" borderId="13" xfId="0" applyFont="1" applyBorder="1"/>
    <xf numFmtId="0" fontId="7" fillId="0" borderId="10" xfId="0" applyFont="1" applyBorder="1"/>
    <xf numFmtId="0" fontId="7" fillId="0" borderId="9" xfId="0" applyFont="1" applyBorder="1"/>
    <xf numFmtId="0" fontId="7" fillId="0" borderId="8" xfId="0" applyFont="1" applyBorder="1"/>
    <xf numFmtId="0" fontId="7" fillId="0" borderId="7" xfId="0" applyFont="1" applyBorder="1"/>
    <xf numFmtId="0" fontId="7" fillId="0" borderId="6" xfId="0" applyFont="1" applyBorder="1"/>
    <xf numFmtId="167" fontId="7" fillId="7" borderId="0" xfId="0" applyNumberFormat="1" applyFont="1" applyFill="1"/>
    <xf numFmtId="0" fontId="7" fillId="7" borderId="1" xfId="0" applyFont="1" applyFill="1" applyBorder="1"/>
    <xf numFmtId="0" fontId="7" fillId="0" borderId="1" xfId="0" applyFont="1" applyBorder="1" applyAlignment="1">
      <alignment horizontal="center"/>
    </xf>
    <xf numFmtId="0" fontId="7" fillId="4" borderId="1" xfId="0" applyFont="1" applyFill="1" applyBorder="1"/>
    <xf numFmtId="1" fontId="7" fillId="0" borderId="1" xfId="0" applyNumberFormat="1" applyFont="1" applyBorder="1"/>
    <xf numFmtId="169" fontId="7" fillId="0" borderId="1" xfId="0" applyNumberFormat="1" applyFont="1" applyBorder="1"/>
    <xf numFmtId="0" fontId="11" fillId="0" borderId="0" xfId="1" applyFont="1" applyAlignment="1">
      <alignment horizontal="center"/>
    </xf>
    <xf numFmtId="0" fontId="11" fillId="0" borderId="17" xfId="1" applyFont="1" applyBorder="1" applyAlignment="1">
      <alignment horizontal="center"/>
    </xf>
    <xf numFmtId="0" fontId="25" fillId="13" borderId="36" xfId="0" applyFont="1" applyFill="1" applyBorder="1" applyAlignment="1">
      <alignment horizontal="center"/>
    </xf>
    <xf numFmtId="0" fontId="25" fillId="0" borderId="36" xfId="0" applyFont="1" applyBorder="1" applyAlignment="1">
      <alignment horizontal="center"/>
    </xf>
    <xf numFmtId="0" fontId="25" fillId="0" borderId="37" xfId="0" applyFont="1" applyBorder="1" applyAlignment="1">
      <alignment horizontal="center"/>
    </xf>
    <xf numFmtId="2" fontId="23" fillId="0" borderId="40" xfId="0" applyNumberFormat="1" applyFont="1" applyBorder="1" applyAlignment="1">
      <alignment horizontal="center"/>
    </xf>
    <xf numFmtId="2" fontId="23" fillId="0" borderId="41" xfId="0" applyNumberFormat="1" applyFont="1" applyBorder="1" applyAlignment="1">
      <alignment horizontal="center"/>
    </xf>
    <xf numFmtId="0" fontId="25" fillId="13" borderId="45" xfId="0" applyFont="1" applyFill="1" applyBorder="1" applyAlignment="1">
      <alignment horizontal="center"/>
    </xf>
    <xf numFmtId="2" fontId="23" fillId="0" borderId="39" xfId="0" applyNumberFormat="1" applyFont="1" applyBorder="1" applyAlignment="1">
      <alignment horizontal="center"/>
    </xf>
    <xf numFmtId="2" fontId="23" fillId="0" borderId="46" xfId="0" applyNumberFormat="1" applyFont="1" applyBorder="1" applyAlignment="1">
      <alignment horizontal="center"/>
    </xf>
    <xf numFmtId="0" fontId="26" fillId="13" borderId="5" xfId="0" quotePrefix="1" applyFont="1" applyFill="1" applyBorder="1" applyAlignment="1">
      <alignment horizontal="center" vertical="center"/>
    </xf>
    <xf numFmtId="0" fontId="26" fillId="13" borderId="2" xfId="0" quotePrefix="1" applyFont="1" applyFill="1" applyBorder="1" applyAlignment="1">
      <alignment horizontal="center" vertical="center"/>
    </xf>
    <xf numFmtId="0" fontId="26" fillId="0" borderId="2" xfId="0" quotePrefix="1" applyFont="1" applyBorder="1" applyAlignment="1">
      <alignment horizontal="center" vertical="center"/>
    </xf>
    <xf numFmtId="0" fontId="26" fillId="0" borderId="47" xfId="0" quotePrefix="1" applyFont="1" applyBorder="1" applyAlignment="1">
      <alignment horizontal="center" vertical="center"/>
    </xf>
    <xf numFmtId="0" fontId="24" fillId="13" borderId="48" xfId="1" applyFont="1" applyFill="1" applyBorder="1" applyAlignment="1">
      <alignment horizontal="center"/>
    </xf>
    <xf numFmtId="0" fontId="24" fillId="13" borderId="45" xfId="1" applyFont="1" applyFill="1" applyBorder="1" applyAlignment="1">
      <alignment horizontal="center"/>
    </xf>
    <xf numFmtId="0" fontId="24" fillId="13" borderId="36" xfId="1" applyFont="1" applyFill="1" applyBorder="1" applyAlignment="1">
      <alignment horizontal="center"/>
    </xf>
    <xf numFmtId="0" fontId="24" fillId="0" borderId="36" xfId="1" applyFont="1" applyBorder="1" applyAlignment="1">
      <alignment horizontal="center"/>
    </xf>
    <xf numFmtId="0" fontId="24" fillId="0" borderId="37" xfId="1" applyFont="1" applyBorder="1" applyAlignment="1">
      <alignment horizontal="center"/>
    </xf>
    <xf numFmtId="0" fontId="1" fillId="11" borderId="30" xfId="1" applyFont="1" applyFill="1" applyBorder="1"/>
    <xf numFmtId="0" fontId="28" fillId="0" borderId="0" xfId="0" applyFont="1"/>
    <xf numFmtId="0" fontId="10" fillId="0" borderId="0" xfId="0" applyFont="1" applyAlignment="1">
      <alignment horizontal="right"/>
    </xf>
    <xf numFmtId="0" fontId="10" fillId="0" borderId="1" xfId="0" applyFont="1" applyBorder="1" applyAlignment="1">
      <alignment horizontal="right"/>
    </xf>
    <xf numFmtId="10" fontId="10" fillId="7" borderId="1" xfId="0" applyNumberFormat="1" applyFont="1" applyFill="1" applyBorder="1" applyAlignment="1">
      <alignment horizontal="left"/>
    </xf>
    <xf numFmtId="166" fontId="28" fillId="0" borderId="0" xfId="0" applyNumberFormat="1" applyFont="1" applyAlignment="1">
      <alignment horizontal="right"/>
    </xf>
    <xf numFmtId="0" fontId="10" fillId="0" borderId="1" xfId="0" applyFont="1" applyBorder="1" applyAlignment="1">
      <alignment horizontal="left"/>
    </xf>
    <xf numFmtId="0" fontId="10" fillId="0" borderId="1" xfId="0" applyFont="1" applyBorder="1"/>
    <xf numFmtId="10" fontId="10" fillId="8" borderId="0" xfId="0" applyNumberFormat="1" applyFont="1" applyFill="1" applyAlignment="1">
      <alignment horizontal="right"/>
    </xf>
    <xf numFmtId="1" fontId="10" fillId="7" borderId="1" xfId="0" applyNumberFormat="1" applyFont="1" applyFill="1" applyBorder="1" applyAlignment="1">
      <alignment horizontal="left"/>
    </xf>
    <xf numFmtId="2" fontId="28" fillId="0" borderId="0" xfId="0" applyNumberFormat="1" applyFont="1"/>
    <xf numFmtId="4" fontId="10" fillId="0" borderId="1" xfId="0" applyNumberFormat="1" applyFont="1" applyBorder="1" applyAlignment="1">
      <alignment horizontal="right"/>
    </xf>
    <xf numFmtId="0" fontId="28" fillId="0" borderId="0" xfId="0" applyFont="1" applyAlignment="1">
      <alignment horizontal="right"/>
    </xf>
    <xf numFmtId="10" fontId="10" fillId="0" borderId="0" xfId="0" applyNumberFormat="1" applyFont="1" applyAlignment="1">
      <alignment horizontal="left"/>
    </xf>
    <xf numFmtId="0" fontId="10" fillId="0" borderId="0" xfId="0" applyFont="1" applyAlignment="1">
      <alignment horizontal="center"/>
    </xf>
    <xf numFmtId="0" fontId="28" fillId="0" borderId="0" xfId="0" applyFont="1" applyAlignment="1">
      <alignment horizontal="center"/>
    </xf>
    <xf numFmtId="0" fontId="10" fillId="0" borderId="2" xfId="0" applyFont="1" applyBorder="1"/>
    <xf numFmtId="4" fontId="10" fillId="0" borderId="4" xfId="0" applyNumberFormat="1" applyFont="1" applyBorder="1" applyAlignment="1">
      <alignment horizontal="center"/>
    </xf>
    <xf numFmtId="4" fontId="10" fillId="0" borderId="4" xfId="0" applyNumberFormat="1" applyFont="1" applyBorder="1"/>
    <xf numFmtId="166" fontId="10" fillId="0" borderId="4" xfId="0" applyNumberFormat="1" applyFont="1" applyBorder="1" applyAlignment="1">
      <alignment horizontal="center"/>
    </xf>
    <xf numFmtId="0" fontId="10" fillId="0" borderId="4" xfId="0" applyFont="1" applyBorder="1"/>
    <xf numFmtId="4" fontId="10" fillId="0" borderId="3" xfId="0" applyNumberFormat="1" applyFont="1" applyBorder="1" applyAlignment="1">
      <alignment horizontal="center"/>
    </xf>
    <xf numFmtId="164" fontId="29" fillId="0" borderId="0" xfId="0" applyNumberFormat="1" applyFont="1"/>
    <xf numFmtId="164" fontId="27" fillId="8" borderId="0" xfId="0" applyNumberFormat="1" applyFont="1" applyFill="1"/>
    <xf numFmtId="0" fontId="10" fillId="7" borderId="1" xfId="0" applyFont="1" applyFill="1" applyBorder="1" applyAlignment="1">
      <alignment horizontal="right"/>
    </xf>
    <xf numFmtId="168" fontId="10" fillId="7" borderId="1" xfId="0" applyNumberFormat="1" applyFont="1" applyFill="1" applyBorder="1" applyAlignment="1">
      <alignment horizontal="right"/>
    </xf>
    <xf numFmtId="0" fontId="11" fillId="0" borderId="0" xfId="1" applyFont="1" applyAlignment="1">
      <alignment horizontal="right"/>
    </xf>
    <xf numFmtId="0" fontId="11" fillId="11" borderId="23" xfId="1" applyFont="1" applyFill="1" applyBorder="1" applyAlignment="1">
      <alignment horizontal="center"/>
    </xf>
    <xf numFmtId="0" fontId="11" fillId="11" borderId="24" xfId="1" applyFont="1" applyFill="1" applyBorder="1" applyAlignment="1">
      <alignment horizontal="center"/>
    </xf>
    <xf numFmtId="0" fontId="11" fillId="11" borderId="25" xfId="1" applyFont="1" applyFill="1" applyBorder="1" applyAlignment="1">
      <alignment horizontal="center"/>
    </xf>
    <xf numFmtId="0" fontId="11" fillId="0" borderId="0" xfId="1" applyFont="1" applyAlignment="1">
      <alignment horizontal="center"/>
    </xf>
    <xf numFmtId="0" fontId="3" fillId="0" borderId="20" xfId="1" applyFont="1" applyBorder="1" applyAlignment="1">
      <alignment horizontal="center" textRotation="45"/>
    </xf>
    <xf numFmtId="0" fontId="3" fillId="0" borderId="21" xfId="1" applyFont="1" applyBorder="1" applyAlignment="1">
      <alignment horizontal="center" textRotation="45"/>
    </xf>
    <xf numFmtId="0" fontId="3" fillId="0" borderId="22" xfId="1" applyFont="1" applyBorder="1" applyAlignment="1">
      <alignment horizontal="center" textRotation="45"/>
    </xf>
    <xf numFmtId="0" fontId="11" fillId="0" borderId="0" xfId="1" applyFont="1" applyAlignment="1">
      <alignment horizontal="right"/>
    </xf>
    <xf numFmtId="0" fontId="3" fillId="0" borderId="26" xfId="1" applyFont="1" applyBorder="1" applyAlignment="1">
      <alignment horizontal="right" textRotation="45" wrapText="1"/>
    </xf>
    <xf numFmtId="0" fontId="4" fillId="0" borderId="27" xfId="1" applyBorder="1" applyAlignment="1">
      <alignment horizontal="right" textRotation="45" wrapText="1"/>
    </xf>
    <xf numFmtId="0" fontId="4" fillId="0" borderId="28" xfId="1" applyBorder="1" applyAlignment="1">
      <alignment horizontal="right" textRotation="45" wrapText="1"/>
    </xf>
    <xf numFmtId="0" fontId="11" fillId="0" borderId="17" xfId="1" applyFont="1" applyBorder="1" applyAlignment="1">
      <alignment horizontal="center"/>
    </xf>
    <xf numFmtId="0" fontId="26" fillId="0" borderId="35"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4" xfId="0" applyFont="1" applyBorder="1" applyAlignment="1">
      <alignment horizontal="center" vertical="center" wrapText="1"/>
    </xf>
    <xf numFmtId="0" fontId="26" fillId="13" borderId="20" xfId="0" applyFont="1" applyFill="1" applyBorder="1" applyAlignment="1">
      <alignment horizontal="center" vertical="center" wrapText="1"/>
    </xf>
    <xf numFmtId="0" fontId="26" fillId="13" borderId="21" xfId="0" applyFont="1" applyFill="1" applyBorder="1" applyAlignment="1">
      <alignment horizontal="center" vertical="center" wrapText="1"/>
    </xf>
    <xf numFmtId="0" fontId="27" fillId="0" borderId="42" xfId="0" applyFont="1" applyBorder="1" applyAlignment="1">
      <alignment horizontal="center"/>
    </xf>
    <xf numFmtId="0" fontId="27" fillId="0" borderId="11" xfId="0" applyFont="1" applyBorder="1" applyAlignment="1">
      <alignment horizontal="center"/>
    </xf>
    <xf numFmtId="0" fontId="27" fillId="0" borderId="38" xfId="0" applyFont="1" applyBorder="1" applyAlignment="1">
      <alignment horizontal="center"/>
    </xf>
    <xf numFmtId="0" fontId="27" fillId="0" borderId="44" xfId="0" applyFont="1" applyBorder="1" applyAlignment="1">
      <alignment horizontal="center"/>
    </xf>
    <xf numFmtId="0" fontId="7" fillId="0" borderId="1" xfId="0" applyFont="1" applyBorder="1" applyAlignment="1">
      <alignment horizontal="right"/>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2" fillId="7" borderId="1" xfId="1" applyFont="1" applyFill="1" applyBorder="1"/>
    <xf numFmtId="171" fontId="27" fillId="8" borderId="1" xfId="0" applyNumberFormat="1" applyFont="1" applyFill="1" applyBorder="1"/>
    <xf numFmtId="10" fontId="27" fillId="8" borderId="1" xfId="0" applyNumberFormat="1" applyFont="1" applyFill="1" applyBorder="1"/>
    <xf numFmtId="0" fontId="11" fillId="0" borderId="0" xfId="1" applyFont="1" applyAlignment="1"/>
  </cellXfs>
  <cellStyles count="3">
    <cellStyle name="Normalny" xfId="0" builtinId="0"/>
    <cellStyle name="Normalny 2" xfId="1" xr:uid="{00000000-0005-0000-0000-000001000000}"/>
    <cellStyle name="Normalny 4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spPr>
            <a:ln w="34925" cap="rnd">
              <a:solidFill>
                <a:schemeClr val="accent2"/>
              </a:solidFill>
              <a:round/>
            </a:ln>
            <a:effectLst>
              <a:outerShdw blurRad="57150" dist="19050" dir="5400000" algn="ctr" rotWithShape="0">
                <a:srgbClr val="000000">
                  <a:alpha val="63000"/>
                </a:srgbClr>
              </a:outerShdw>
            </a:effectLst>
          </c:spPr>
          <c:marker>
            <c:symbol val="none"/>
          </c:marker>
          <c:cat>
            <c:numRef>
              <c:f>'Zależności wskaźników'!$M$3:$S$3</c:f>
              <c:numCache>
                <c:formatCode>General</c:formatCode>
                <c:ptCount val="7"/>
                <c:pt idx="0">
                  <c:v>7000</c:v>
                </c:pt>
                <c:pt idx="1">
                  <c:v>8000</c:v>
                </c:pt>
                <c:pt idx="2">
                  <c:v>9000</c:v>
                </c:pt>
                <c:pt idx="3">
                  <c:v>10000</c:v>
                </c:pt>
                <c:pt idx="4">
                  <c:v>11000</c:v>
                </c:pt>
                <c:pt idx="5">
                  <c:v>12000</c:v>
                </c:pt>
                <c:pt idx="6">
                  <c:v>13000</c:v>
                </c:pt>
              </c:numCache>
            </c:numRef>
          </c:cat>
          <c:val>
            <c:numRef>
              <c:f>'Zależności wskaźników'!$M$5:$S$5</c:f>
              <c:numCache>
                <c:formatCode>0</c:formatCode>
                <c:ptCount val="7"/>
                <c:pt idx="0">
                  <c:v>2000</c:v>
                </c:pt>
                <c:pt idx="1">
                  <c:v>3000</c:v>
                </c:pt>
                <c:pt idx="2">
                  <c:v>3800</c:v>
                </c:pt>
                <c:pt idx="3">
                  <c:v>4300</c:v>
                </c:pt>
                <c:pt idx="4">
                  <c:v>4500</c:v>
                </c:pt>
                <c:pt idx="5">
                  <c:v>4800</c:v>
                </c:pt>
                <c:pt idx="6">
                  <c:v>5000</c:v>
                </c:pt>
              </c:numCache>
            </c:numRef>
          </c:val>
          <c:smooth val="0"/>
          <c:extLst>
            <c:ext xmlns:c16="http://schemas.microsoft.com/office/drawing/2014/chart" uri="{C3380CC4-5D6E-409C-BE32-E72D297353CC}">
              <c16:uniqueId val="{00000001-2618-49F5-9E64-EEEBD10D7473}"/>
            </c:ext>
          </c:extLst>
        </c:ser>
        <c:dLbls>
          <c:showLegendKey val="0"/>
          <c:showVal val="0"/>
          <c:showCatName val="0"/>
          <c:showSerName val="0"/>
          <c:showPercent val="0"/>
          <c:showBubbleSize val="0"/>
        </c:dLbls>
        <c:smooth val="0"/>
        <c:axId val="333589120"/>
        <c:axId val="333595008"/>
        <c:extLst>
          <c:ext xmlns:c15="http://schemas.microsoft.com/office/drawing/2012/chart" uri="{02D57815-91ED-43cb-92C2-25804820EDAC}">
            <c15:filteredLineSeries>
              <c15:ser>
                <c:idx val="0"/>
                <c:order val="0"/>
                <c:spPr>
                  <a:ln w="34925" cap="rnd">
                    <a:solidFill>
                      <a:schemeClr val="accent1"/>
                    </a:solidFill>
                    <a:round/>
                  </a:ln>
                  <a:effectLst>
                    <a:outerShdw blurRad="57150" dist="19050" dir="5400000" algn="ctr" rotWithShape="0">
                      <a:srgbClr val="000000">
                        <a:alpha val="63000"/>
                      </a:srgbClr>
                    </a:outerShdw>
                  </a:effectLst>
                </c:spPr>
                <c:marker>
                  <c:symbol val="none"/>
                </c:marker>
                <c:cat>
                  <c:numRef>
                    <c:extLst>
                      <c:ext uri="{02D57815-91ED-43cb-92C2-25804820EDAC}">
                        <c15:formulaRef>
                          <c15:sqref>'Zależności wskaźników'!$M$3:$S$3</c15:sqref>
                        </c15:formulaRef>
                      </c:ext>
                    </c:extLst>
                    <c:numCache>
                      <c:formatCode>General</c:formatCode>
                      <c:ptCount val="7"/>
                      <c:pt idx="0">
                        <c:v>7000</c:v>
                      </c:pt>
                      <c:pt idx="1">
                        <c:v>8000</c:v>
                      </c:pt>
                      <c:pt idx="2">
                        <c:v>9000</c:v>
                      </c:pt>
                      <c:pt idx="3">
                        <c:v>10000</c:v>
                      </c:pt>
                      <c:pt idx="4">
                        <c:v>11000</c:v>
                      </c:pt>
                      <c:pt idx="5">
                        <c:v>12000</c:v>
                      </c:pt>
                      <c:pt idx="6">
                        <c:v>13000</c:v>
                      </c:pt>
                    </c:numCache>
                  </c:numRef>
                </c:cat>
                <c:val>
                  <c:numRef>
                    <c:extLst>
                      <c:ext uri="{02D57815-91ED-43cb-92C2-25804820EDAC}">
                        <c15:formulaRef>
                          <c15:sqref>'Zależności wskaźników'!$M$4:$S$4</c15:sqref>
                        </c15:formulaRef>
                      </c:ext>
                    </c:extLst>
                    <c:numCache>
                      <c:formatCode>General</c:formatCode>
                      <c:ptCount val="7"/>
                    </c:numCache>
                  </c:numRef>
                </c:val>
                <c:smooth val="0"/>
                <c:extLst>
                  <c:ext xmlns:c16="http://schemas.microsoft.com/office/drawing/2014/chart" uri="{C3380CC4-5D6E-409C-BE32-E72D297353CC}">
                    <c16:uniqueId val="{00000000-2618-49F5-9E64-EEEBD10D7473}"/>
                  </c:ext>
                </c:extLst>
              </c15:ser>
            </c15:filteredLineSeries>
          </c:ext>
        </c:extLst>
      </c:lineChart>
      <c:catAx>
        <c:axId val="333589120"/>
        <c:scaling>
          <c:orientation val="minMax"/>
        </c:scaling>
        <c:delete val="0"/>
        <c:axPos val="b"/>
        <c:minorGridlines/>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l-PL"/>
          </a:p>
        </c:txPr>
        <c:crossAx val="333595008"/>
        <c:crosses val="autoZero"/>
        <c:auto val="1"/>
        <c:lblAlgn val="ctr"/>
        <c:lblOffset val="100"/>
        <c:noMultiLvlLbl val="0"/>
      </c:catAx>
      <c:valAx>
        <c:axId val="333595008"/>
        <c:scaling>
          <c:orientation val="minMax"/>
        </c:scaling>
        <c:delete val="0"/>
        <c:axPos val="l"/>
        <c:majorGridlines>
          <c:spPr>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l-PL"/>
          </a:p>
        </c:txPr>
        <c:crossAx val="33358912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pl-PL"/>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03826135162047E-2"/>
          <c:y val="3.9372878744177039E-2"/>
          <c:w val="0.90296173864837947"/>
          <c:h val="0.75485126585315054"/>
        </c:manualLayout>
      </c:layout>
      <c:lineChart>
        <c:grouping val="standard"/>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none"/>
          </c:marker>
          <c:cat>
            <c:numRef>
              <c:f>'Zależności wskaźników'!$L$13:$R$13</c:f>
              <c:numCache>
                <c:formatCode>General</c:formatCode>
                <c:ptCount val="7"/>
                <c:pt idx="0">
                  <c:v>2000</c:v>
                </c:pt>
                <c:pt idx="1">
                  <c:v>3000</c:v>
                </c:pt>
                <c:pt idx="2">
                  <c:v>3800</c:v>
                </c:pt>
                <c:pt idx="3">
                  <c:v>4300</c:v>
                </c:pt>
                <c:pt idx="4">
                  <c:v>4500</c:v>
                </c:pt>
                <c:pt idx="5">
                  <c:v>4800</c:v>
                </c:pt>
                <c:pt idx="6">
                  <c:v>5000</c:v>
                </c:pt>
              </c:numCache>
            </c:numRef>
          </c:cat>
          <c:val>
            <c:numRef>
              <c:f>'Zależności wskaźników'!$L$15:$R$15</c:f>
              <c:numCache>
                <c:formatCode>General</c:formatCode>
                <c:ptCount val="7"/>
                <c:pt idx="0">
                  <c:v>1</c:v>
                </c:pt>
                <c:pt idx="1">
                  <c:v>0.9</c:v>
                </c:pt>
                <c:pt idx="2">
                  <c:v>0.8</c:v>
                </c:pt>
                <c:pt idx="3">
                  <c:v>0.7</c:v>
                </c:pt>
                <c:pt idx="4">
                  <c:v>0.65</c:v>
                </c:pt>
                <c:pt idx="5">
                  <c:v>0.6</c:v>
                </c:pt>
                <c:pt idx="6">
                  <c:v>0.55000000000000004</c:v>
                </c:pt>
              </c:numCache>
            </c:numRef>
          </c:val>
          <c:smooth val="0"/>
          <c:extLst xmlns:c15="http://schemas.microsoft.com/office/drawing/2012/chart">
            <c:ext xmlns:c16="http://schemas.microsoft.com/office/drawing/2014/chart" uri="{C3380CC4-5D6E-409C-BE32-E72D297353CC}">
              <c16:uniqueId val="{00000001-4BB2-468E-9361-5B6B06ADBA79}"/>
            </c:ext>
          </c:extLst>
        </c:ser>
        <c:dLbls>
          <c:showLegendKey val="0"/>
          <c:showVal val="0"/>
          <c:showCatName val="0"/>
          <c:showSerName val="0"/>
          <c:showPercent val="0"/>
          <c:showBubbleSize val="0"/>
        </c:dLbls>
        <c:smooth val="0"/>
        <c:axId val="333589120"/>
        <c:axId val="333595008"/>
        <c:extLst/>
      </c:lineChart>
      <c:catAx>
        <c:axId val="333589120"/>
        <c:scaling>
          <c:orientation val="minMax"/>
        </c:scaling>
        <c:delete val="0"/>
        <c:axPos val="b"/>
        <c:minorGridlines/>
        <c:numFmt formatCode="#,##0" sourceLinked="0"/>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l-PL"/>
          </a:p>
        </c:txPr>
        <c:crossAx val="333595008"/>
        <c:crosses val="autoZero"/>
        <c:auto val="1"/>
        <c:lblAlgn val="ctr"/>
        <c:lblOffset val="100"/>
        <c:noMultiLvlLbl val="0"/>
      </c:catAx>
      <c:valAx>
        <c:axId val="333595008"/>
        <c:scaling>
          <c:orientation val="minMax"/>
          <c:max val="1"/>
        </c:scaling>
        <c:delete val="0"/>
        <c:axPos val="l"/>
        <c:majorGridlines>
          <c:spPr>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l-PL"/>
          </a:p>
        </c:txPr>
        <c:crossAx val="33358912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pl-PL"/>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E"/>
                <a:ea typeface="Arial CE"/>
                <a:cs typeface="Arial CE"/>
              </a:defRPr>
            </a:pPr>
            <a:r>
              <a:rPr lang="pl-PL"/>
              <a:t>Regresja liniowa
</a:t>
            </a:r>
          </a:p>
        </c:rich>
      </c:tx>
      <c:layout>
        <c:manualLayout>
          <c:xMode val="edge"/>
          <c:yMode val="edge"/>
          <c:x val="0.36585429870046793"/>
          <c:y val="3.8327526132404179E-2"/>
        </c:manualLayout>
      </c:layout>
      <c:overlay val="0"/>
      <c:spPr>
        <a:noFill/>
        <a:ln w="25400">
          <a:noFill/>
        </a:ln>
      </c:spPr>
    </c:title>
    <c:autoTitleDeleted val="0"/>
    <c:plotArea>
      <c:layout>
        <c:manualLayout>
          <c:layoutTarget val="inner"/>
          <c:xMode val="edge"/>
          <c:yMode val="edge"/>
          <c:x val="0.12195146157159389"/>
          <c:y val="0.15679442508710842"/>
          <c:w val="0.82520488996778529"/>
          <c:h val="0.75261324041811972"/>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inear"/>
            <c:dispRSqr val="1"/>
            <c:dispEq val="1"/>
            <c:trendlineLbl>
              <c:layout>
                <c:manualLayout>
                  <c:x val="-0.34231867358043661"/>
                  <c:y val="0.10762380254518658"/>
                </c:manualLayout>
              </c:layout>
              <c:numFmt formatCode="General" sourceLinked="0"/>
              <c:spPr>
                <a:noFill/>
                <a:ln w="25400">
                  <a:noFill/>
                </a:ln>
              </c:spPr>
              <c:txPr>
                <a:bodyPr/>
                <a:lstStyle/>
                <a:p>
                  <a:pPr>
                    <a:defRPr sz="1025" b="0" i="0" u="none" strike="noStrike" baseline="0">
                      <a:solidFill>
                        <a:srgbClr val="000000"/>
                      </a:solidFill>
                      <a:latin typeface="Arial CE"/>
                      <a:ea typeface="Arial CE"/>
                      <a:cs typeface="Arial CE"/>
                    </a:defRPr>
                  </a:pPr>
                  <a:endParaRPr lang="pl-PL"/>
                </a:p>
              </c:txPr>
            </c:trendlineLbl>
          </c:trendline>
          <c:xVal>
            <c:numRef>
              <c:f>'Regresja '!$A$5:$A$35</c:f>
              <c:numCache>
                <c:formatCode>General</c:formatCode>
                <c:ptCount val="31"/>
                <c:pt idx="0">
                  <c:v>7000</c:v>
                </c:pt>
                <c:pt idx="1">
                  <c:v>8000</c:v>
                </c:pt>
                <c:pt idx="2">
                  <c:v>9000</c:v>
                </c:pt>
                <c:pt idx="3">
                  <c:v>10000</c:v>
                </c:pt>
                <c:pt idx="4">
                  <c:v>11000</c:v>
                </c:pt>
                <c:pt idx="5">
                  <c:v>12000</c:v>
                </c:pt>
                <c:pt idx="6">
                  <c:v>13000</c:v>
                </c:pt>
              </c:numCache>
            </c:numRef>
          </c:xVal>
          <c:yVal>
            <c:numRef>
              <c:f>'Regresja '!$B$5:$B$35</c:f>
              <c:numCache>
                <c:formatCode>0</c:formatCode>
                <c:ptCount val="31"/>
                <c:pt idx="0">
                  <c:v>2000</c:v>
                </c:pt>
                <c:pt idx="1">
                  <c:v>3000</c:v>
                </c:pt>
                <c:pt idx="2">
                  <c:v>3800</c:v>
                </c:pt>
                <c:pt idx="3">
                  <c:v>4300</c:v>
                </c:pt>
                <c:pt idx="4">
                  <c:v>4500</c:v>
                </c:pt>
                <c:pt idx="5">
                  <c:v>4800</c:v>
                </c:pt>
                <c:pt idx="6">
                  <c:v>5000</c:v>
                </c:pt>
              </c:numCache>
            </c:numRef>
          </c:yVal>
          <c:smooth val="0"/>
          <c:extLst>
            <c:ext xmlns:c16="http://schemas.microsoft.com/office/drawing/2014/chart" uri="{C3380CC4-5D6E-409C-BE32-E72D297353CC}">
              <c16:uniqueId val="{00000001-25A6-41BB-B0BE-31F59139BF8E}"/>
            </c:ext>
          </c:extLst>
        </c:ser>
        <c:dLbls>
          <c:showLegendKey val="0"/>
          <c:showVal val="0"/>
          <c:showCatName val="0"/>
          <c:showSerName val="0"/>
          <c:showPercent val="0"/>
          <c:showBubbleSize val="0"/>
        </c:dLbls>
        <c:axId val="333109504"/>
        <c:axId val="333115392"/>
      </c:scatterChart>
      <c:valAx>
        <c:axId val="333109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CE"/>
                <a:ea typeface="Arial CE"/>
                <a:cs typeface="Arial CE"/>
              </a:defRPr>
            </a:pPr>
            <a:endParaRPr lang="pl-PL"/>
          </a:p>
        </c:txPr>
        <c:crossAx val="333115392"/>
        <c:crosses val="autoZero"/>
        <c:crossBetween val="midCat"/>
      </c:valAx>
      <c:valAx>
        <c:axId val="33311539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CE"/>
                <a:ea typeface="Arial CE"/>
                <a:cs typeface="Arial CE"/>
              </a:defRPr>
            </a:pPr>
            <a:endParaRPr lang="pl-PL"/>
          </a:p>
        </c:txPr>
        <c:crossAx val="3331095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025" b="0" i="0" u="none" strike="noStrike" baseline="0">
          <a:solidFill>
            <a:srgbClr val="000000"/>
          </a:solidFill>
          <a:latin typeface="Arial CE"/>
          <a:ea typeface="Arial CE"/>
          <a:cs typeface="Arial CE"/>
        </a:defRPr>
      </a:pPr>
      <a:endParaRPr lang="pl-PL"/>
    </a:p>
  </c:txPr>
  <c:printSettings>
    <c:headerFooter alignWithMargins="0"/>
    <c:pageMargins b="1" l="0.75000000000000089" r="0.75000000000000089"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E"/>
                <a:ea typeface="Arial CE"/>
                <a:cs typeface="Arial CE"/>
              </a:defRPr>
            </a:pPr>
            <a:r>
              <a:rPr lang="pl-PL"/>
              <a:t>Regresja wielomianowa (wielomian stopnia 2)
</a:t>
            </a:r>
          </a:p>
        </c:rich>
      </c:tx>
      <c:layout>
        <c:manualLayout>
          <c:xMode val="edge"/>
          <c:yMode val="edge"/>
          <c:x val="0.14807323526749858"/>
          <c:y val="1.7793594306049824E-2"/>
        </c:manualLayout>
      </c:layout>
      <c:overlay val="0"/>
      <c:spPr>
        <a:noFill/>
        <a:ln w="25400">
          <a:noFill/>
        </a:ln>
      </c:spPr>
    </c:title>
    <c:autoTitleDeleted val="0"/>
    <c:plotArea>
      <c:layout>
        <c:manualLayout>
          <c:layoutTarget val="inner"/>
          <c:xMode val="edge"/>
          <c:yMode val="edge"/>
          <c:x val="0.11359037619482937"/>
          <c:y val="0.15658362989323843"/>
          <c:w val="0.83570062486195851"/>
          <c:h val="0.75444839857651336"/>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2"/>
            <c:dispRSqr val="1"/>
            <c:dispEq val="1"/>
            <c:trendlineLbl>
              <c:layout>
                <c:manualLayout>
                  <c:x val="-0.27195029627381773"/>
                  <c:y val="5.8323385733366956E-2"/>
                </c:manualLayout>
              </c:layout>
              <c:numFmt formatCode="General" sourceLinked="0"/>
              <c:spPr>
                <a:noFill/>
                <a:ln w="25400">
                  <a:noFill/>
                </a:ln>
              </c:spPr>
              <c:txPr>
                <a:bodyPr/>
                <a:lstStyle/>
                <a:p>
                  <a:pPr>
                    <a:defRPr sz="1000" b="0" i="0" u="none" strike="noStrike" baseline="0">
                      <a:solidFill>
                        <a:srgbClr val="000000"/>
                      </a:solidFill>
                      <a:latin typeface="Arial CE"/>
                      <a:ea typeface="Arial CE"/>
                      <a:cs typeface="Arial CE"/>
                    </a:defRPr>
                  </a:pPr>
                  <a:endParaRPr lang="pl-PL"/>
                </a:p>
              </c:txPr>
            </c:trendlineLbl>
          </c:trendline>
          <c:xVal>
            <c:numRef>
              <c:f>'Regresja '!$A$5:$A$35</c:f>
              <c:numCache>
                <c:formatCode>General</c:formatCode>
                <c:ptCount val="31"/>
                <c:pt idx="0">
                  <c:v>7000</c:v>
                </c:pt>
                <c:pt idx="1">
                  <c:v>8000</c:v>
                </c:pt>
                <c:pt idx="2">
                  <c:v>9000</c:v>
                </c:pt>
                <c:pt idx="3">
                  <c:v>10000</c:v>
                </c:pt>
                <c:pt idx="4">
                  <c:v>11000</c:v>
                </c:pt>
                <c:pt idx="5">
                  <c:v>12000</c:v>
                </c:pt>
                <c:pt idx="6">
                  <c:v>13000</c:v>
                </c:pt>
              </c:numCache>
            </c:numRef>
          </c:xVal>
          <c:yVal>
            <c:numRef>
              <c:f>'Regresja '!$B$5:$B$35</c:f>
              <c:numCache>
                <c:formatCode>0</c:formatCode>
                <c:ptCount val="31"/>
                <c:pt idx="0">
                  <c:v>2000</c:v>
                </c:pt>
                <c:pt idx="1">
                  <c:v>3000</c:v>
                </c:pt>
                <c:pt idx="2">
                  <c:v>3800</c:v>
                </c:pt>
                <c:pt idx="3">
                  <c:v>4300</c:v>
                </c:pt>
                <c:pt idx="4">
                  <c:v>4500</c:v>
                </c:pt>
                <c:pt idx="5">
                  <c:v>4800</c:v>
                </c:pt>
                <c:pt idx="6">
                  <c:v>5000</c:v>
                </c:pt>
              </c:numCache>
            </c:numRef>
          </c:yVal>
          <c:smooth val="0"/>
          <c:extLst>
            <c:ext xmlns:c16="http://schemas.microsoft.com/office/drawing/2014/chart" uri="{C3380CC4-5D6E-409C-BE32-E72D297353CC}">
              <c16:uniqueId val="{00000001-1D78-4C03-BB6B-B2E3E48C7C49}"/>
            </c:ext>
          </c:extLst>
        </c:ser>
        <c:dLbls>
          <c:showLegendKey val="0"/>
          <c:showVal val="0"/>
          <c:showCatName val="0"/>
          <c:showSerName val="0"/>
          <c:showPercent val="0"/>
          <c:showBubbleSize val="0"/>
        </c:dLbls>
        <c:axId val="334271232"/>
        <c:axId val="334272768"/>
      </c:scatterChart>
      <c:valAx>
        <c:axId val="334271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E"/>
                <a:ea typeface="Arial CE"/>
                <a:cs typeface="Arial CE"/>
              </a:defRPr>
            </a:pPr>
            <a:endParaRPr lang="pl-PL"/>
          </a:p>
        </c:txPr>
        <c:crossAx val="334272768"/>
        <c:crosses val="autoZero"/>
        <c:crossBetween val="midCat"/>
      </c:valAx>
      <c:valAx>
        <c:axId val="33427276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E"/>
                <a:ea typeface="Arial CE"/>
                <a:cs typeface="Arial CE"/>
              </a:defRPr>
            </a:pPr>
            <a:endParaRPr lang="pl-PL"/>
          </a:p>
        </c:txPr>
        <c:crossAx val="33427123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CE"/>
          <a:ea typeface="Arial CE"/>
          <a:cs typeface="Arial CE"/>
        </a:defRPr>
      </a:pPr>
      <a:endParaRPr lang="pl-PL"/>
    </a:p>
  </c:txPr>
  <c:printSettings>
    <c:headerFooter alignWithMargins="0"/>
    <c:pageMargins b="1" l="0.75000000000000089" r="0.7500000000000008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E"/>
                <a:ea typeface="Arial CE"/>
                <a:cs typeface="Arial CE"/>
              </a:defRPr>
            </a:pPr>
            <a:r>
              <a:rPr lang="pl-PL"/>
              <a:t>Regresja wielomianowa (wielomian stopnia 3)
</a:t>
            </a:r>
          </a:p>
        </c:rich>
      </c:tx>
      <c:layout>
        <c:manualLayout>
          <c:xMode val="edge"/>
          <c:yMode val="edge"/>
          <c:x val="0.14078696684653549"/>
          <c:y val="2.0761245674740521E-2"/>
        </c:manualLayout>
      </c:layout>
      <c:overlay val="0"/>
      <c:spPr>
        <a:noFill/>
        <a:ln w="25400">
          <a:noFill/>
        </a:ln>
      </c:spPr>
    </c:title>
    <c:autoTitleDeleted val="0"/>
    <c:plotArea>
      <c:layout>
        <c:manualLayout>
          <c:layoutTarget val="inner"/>
          <c:xMode val="edge"/>
          <c:yMode val="edge"/>
          <c:x val="0.11594226340552102"/>
          <c:y val="0.15224939218174288"/>
          <c:w val="0.83229981944677689"/>
          <c:h val="0.76124696090871169"/>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3"/>
            <c:dispRSqr val="1"/>
            <c:dispEq val="1"/>
            <c:trendlineLbl>
              <c:layout>
                <c:manualLayout>
                  <c:x val="-0.18270324905039045"/>
                  <c:y val="0.44624275739117514"/>
                </c:manualLayout>
              </c:layout>
              <c:numFmt formatCode="General" sourceLinked="0"/>
              <c:spPr>
                <a:noFill/>
                <a:ln w="25400">
                  <a:noFill/>
                </a:ln>
              </c:spPr>
              <c:txPr>
                <a:bodyPr/>
                <a:lstStyle/>
                <a:p>
                  <a:pPr>
                    <a:defRPr sz="1000" b="0" i="0" u="none" strike="noStrike" baseline="0">
                      <a:solidFill>
                        <a:srgbClr val="000000"/>
                      </a:solidFill>
                      <a:latin typeface="Arial CE"/>
                      <a:ea typeface="Arial CE"/>
                      <a:cs typeface="Arial CE"/>
                    </a:defRPr>
                  </a:pPr>
                  <a:endParaRPr lang="pl-PL"/>
                </a:p>
              </c:txPr>
            </c:trendlineLbl>
          </c:trendline>
          <c:xVal>
            <c:numRef>
              <c:f>'Regresja '!$A$5:$A$35</c:f>
              <c:numCache>
                <c:formatCode>General</c:formatCode>
                <c:ptCount val="31"/>
                <c:pt idx="0">
                  <c:v>7000</c:v>
                </c:pt>
                <c:pt idx="1">
                  <c:v>8000</c:v>
                </c:pt>
                <c:pt idx="2">
                  <c:v>9000</c:v>
                </c:pt>
                <c:pt idx="3">
                  <c:v>10000</c:v>
                </c:pt>
                <c:pt idx="4">
                  <c:v>11000</c:v>
                </c:pt>
                <c:pt idx="5">
                  <c:v>12000</c:v>
                </c:pt>
                <c:pt idx="6">
                  <c:v>13000</c:v>
                </c:pt>
              </c:numCache>
            </c:numRef>
          </c:xVal>
          <c:yVal>
            <c:numRef>
              <c:f>'Regresja '!$B$5:$B$35</c:f>
              <c:numCache>
                <c:formatCode>0</c:formatCode>
                <c:ptCount val="31"/>
                <c:pt idx="0">
                  <c:v>2000</c:v>
                </c:pt>
                <c:pt idx="1">
                  <c:v>3000</c:v>
                </c:pt>
                <c:pt idx="2">
                  <c:v>3800</c:v>
                </c:pt>
                <c:pt idx="3">
                  <c:v>4300</c:v>
                </c:pt>
                <c:pt idx="4">
                  <c:v>4500</c:v>
                </c:pt>
                <c:pt idx="5">
                  <c:v>4800</c:v>
                </c:pt>
                <c:pt idx="6">
                  <c:v>5000</c:v>
                </c:pt>
              </c:numCache>
            </c:numRef>
          </c:yVal>
          <c:smooth val="0"/>
          <c:extLst>
            <c:ext xmlns:c16="http://schemas.microsoft.com/office/drawing/2014/chart" uri="{C3380CC4-5D6E-409C-BE32-E72D297353CC}">
              <c16:uniqueId val="{00000001-97B4-49D8-BAF3-D2BB949FA128}"/>
            </c:ext>
          </c:extLst>
        </c:ser>
        <c:dLbls>
          <c:showLegendKey val="0"/>
          <c:showVal val="0"/>
          <c:showCatName val="0"/>
          <c:showSerName val="0"/>
          <c:showPercent val="0"/>
          <c:showBubbleSize val="0"/>
        </c:dLbls>
        <c:axId val="334388224"/>
        <c:axId val="334398208"/>
      </c:scatterChart>
      <c:valAx>
        <c:axId val="334388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E"/>
                <a:ea typeface="Arial CE"/>
                <a:cs typeface="Arial CE"/>
              </a:defRPr>
            </a:pPr>
            <a:endParaRPr lang="pl-PL"/>
          </a:p>
        </c:txPr>
        <c:crossAx val="334398208"/>
        <c:crosses val="autoZero"/>
        <c:crossBetween val="midCat"/>
      </c:valAx>
      <c:valAx>
        <c:axId val="33439820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E"/>
                <a:ea typeface="Arial CE"/>
                <a:cs typeface="Arial CE"/>
              </a:defRPr>
            </a:pPr>
            <a:endParaRPr lang="pl-PL"/>
          </a:p>
        </c:txPr>
        <c:crossAx val="33438822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CE"/>
          <a:ea typeface="Arial CE"/>
          <a:cs typeface="Arial CE"/>
        </a:defRPr>
      </a:pPr>
      <a:endParaRPr lang="pl-PL"/>
    </a:p>
  </c:txPr>
  <c:printSettings>
    <c:headerFooter alignWithMargins="0"/>
    <c:pageMargins b="1" l="0.75000000000000089" r="0.75000000000000089"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E"/>
                <a:ea typeface="Arial CE"/>
                <a:cs typeface="Arial CE"/>
              </a:defRPr>
            </a:pPr>
            <a:r>
              <a:rPr lang="pl-PL"/>
              <a:t>Regresja wielomianowa (wielomian stopnia 4)
</a:t>
            </a:r>
          </a:p>
        </c:rich>
      </c:tx>
      <c:layout>
        <c:manualLayout>
          <c:xMode val="edge"/>
          <c:yMode val="edge"/>
          <c:x val="0.14049608468362962"/>
          <c:y val="1.7667844522968202E-2"/>
        </c:manualLayout>
      </c:layout>
      <c:overlay val="0"/>
      <c:spPr>
        <a:noFill/>
        <a:ln w="25400">
          <a:noFill/>
        </a:ln>
      </c:spPr>
    </c:title>
    <c:autoTitleDeleted val="0"/>
    <c:plotArea>
      <c:layout>
        <c:manualLayout>
          <c:layoutTarget val="inner"/>
          <c:xMode val="edge"/>
          <c:yMode val="edge"/>
          <c:x val="0.11570259606489305"/>
          <c:y val="0.15547730005883559"/>
          <c:w val="0.83264546810985662"/>
          <c:h val="0.7561850502861549"/>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4"/>
            <c:dispRSqr val="1"/>
            <c:dispEq val="1"/>
            <c:trendlineLbl>
              <c:layout>
                <c:manualLayout>
                  <c:x val="-2.9822780416910697E-2"/>
                  <c:y val="0.44527865112267329"/>
                </c:manualLayout>
              </c:layout>
              <c:numFmt formatCode="General" sourceLinked="0"/>
              <c:spPr>
                <a:noFill/>
                <a:ln w="25400">
                  <a:noFill/>
                </a:ln>
              </c:spPr>
              <c:txPr>
                <a:bodyPr/>
                <a:lstStyle/>
                <a:p>
                  <a:pPr>
                    <a:defRPr sz="1000" b="0" i="0" u="none" strike="noStrike" baseline="0">
                      <a:solidFill>
                        <a:srgbClr val="000000"/>
                      </a:solidFill>
                      <a:latin typeface="Arial CE"/>
                      <a:ea typeface="Arial CE"/>
                      <a:cs typeface="Arial CE"/>
                    </a:defRPr>
                  </a:pPr>
                  <a:endParaRPr lang="pl-PL"/>
                </a:p>
              </c:txPr>
            </c:trendlineLbl>
          </c:trendline>
          <c:xVal>
            <c:numRef>
              <c:f>'Regresja '!$A$5:$A$35</c:f>
              <c:numCache>
                <c:formatCode>General</c:formatCode>
                <c:ptCount val="31"/>
                <c:pt idx="0">
                  <c:v>7000</c:v>
                </c:pt>
                <c:pt idx="1">
                  <c:v>8000</c:v>
                </c:pt>
                <c:pt idx="2">
                  <c:v>9000</c:v>
                </c:pt>
                <c:pt idx="3">
                  <c:v>10000</c:v>
                </c:pt>
                <c:pt idx="4">
                  <c:v>11000</c:v>
                </c:pt>
                <c:pt idx="5">
                  <c:v>12000</c:v>
                </c:pt>
                <c:pt idx="6">
                  <c:v>13000</c:v>
                </c:pt>
              </c:numCache>
            </c:numRef>
          </c:xVal>
          <c:yVal>
            <c:numRef>
              <c:f>'Regresja '!$B$5:$B$35</c:f>
              <c:numCache>
                <c:formatCode>0</c:formatCode>
                <c:ptCount val="31"/>
                <c:pt idx="0">
                  <c:v>2000</c:v>
                </c:pt>
                <c:pt idx="1">
                  <c:v>3000</c:v>
                </c:pt>
                <c:pt idx="2">
                  <c:v>3800</c:v>
                </c:pt>
                <c:pt idx="3">
                  <c:v>4300</c:v>
                </c:pt>
                <c:pt idx="4">
                  <c:v>4500</c:v>
                </c:pt>
                <c:pt idx="5">
                  <c:v>4800</c:v>
                </c:pt>
                <c:pt idx="6">
                  <c:v>5000</c:v>
                </c:pt>
              </c:numCache>
            </c:numRef>
          </c:yVal>
          <c:smooth val="0"/>
          <c:extLst>
            <c:ext xmlns:c16="http://schemas.microsoft.com/office/drawing/2014/chart" uri="{C3380CC4-5D6E-409C-BE32-E72D297353CC}">
              <c16:uniqueId val="{00000001-CCF3-46D3-9D12-BA60DB536E65}"/>
            </c:ext>
          </c:extLst>
        </c:ser>
        <c:dLbls>
          <c:showLegendKey val="0"/>
          <c:showVal val="0"/>
          <c:showCatName val="0"/>
          <c:showSerName val="0"/>
          <c:showPercent val="0"/>
          <c:showBubbleSize val="0"/>
        </c:dLbls>
        <c:axId val="334574720"/>
        <c:axId val="334576256"/>
      </c:scatterChart>
      <c:valAx>
        <c:axId val="334574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E"/>
                <a:ea typeface="Arial CE"/>
                <a:cs typeface="Arial CE"/>
              </a:defRPr>
            </a:pPr>
            <a:endParaRPr lang="pl-PL"/>
          </a:p>
        </c:txPr>
        <c:crossAx val="334576256"/>
        <c:crosses val="autoZero"/>
        <c:crossBetween val="midCat"/>
      </c:valAx>
      <c:valAx>
        <c:axId val="33457625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E"/>
                <a:ea typeface="Arial CE"/>
                <a:cs typeface="Arial CE"/>
              </a:defRPr>
            </a:pPr>
            <a:endParaRPr lang="pl-PL"/>
          </a:p>
        </c:txPr>
        <c:crossAx val="33457472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CE"/>
          <a:ea typeface="Arial CE"/>
          <a:cs typeface="Arial CE"/>
        </a:defRPr>
      </a:pPr>
      <a:endParaRPr lang="pl-PL"/>
    </a:p>
  </c:txPr>
  <c:printSettings>
    <c:headerFooter alignWithMargins="0"/>
    <c:pageMargins b="1" l="0.75000000000000089" r="0.75000000000000089"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14</xdr:col>
      <xdr:colOff>66675</xdr:colOff>
      <xdr:row>33</xdr:row>
      <xdr:rowOff>114300</xdr:rowOff>
    </xdr:to>
    <xdr:pic>
      <xdr:nvPicPr>
        <xdr:cNvPr id="3" name="Obraz 2">
          <a:extLst>
            <a:ext uri="{FF2B5EF4-FFF2-40B4-BE49-F238E27FC236}">
              <a16:creationId xmlns:a16="http://schemas.microsoft.com/office/drawing/2014/main" id="{28C7D839-47FE-44EC-866B-164E61313D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323850"/>
          <a:ext cx="7991475" cy="5133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xdr:row>
      <xdr:rowOff>0</xdr:rowOff>
    </xdr:from>
    <xdr:to>
      <xdr:col>27</xdr:col>
      <xdr:colOff>561975</xdr:colOff>
      <xdr:row>28</xdr:row>
      <xdr:rowOff>152400</xdr:rowOff>
    </xdr:to>
    <xdr:pic>
      <xdr:nvPicPr>
        <xdr:cNvPr id="6" name="Obraz 5">
          <a:extLst>
            <a:ext uri="{FF2B5EF4-FFF2-40B4-BE49-F238E27FC236}">
              <a16:creationId xmlns:a16="http://schemas.microsoft.com/office/drawing/2014/main" id="{EECCEC03-4E7F-404A-8081-57236998438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0" y="323850"/>
          <a:ext cx="7877175" cy="436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xdr:row>
      <xdr:rowOff>0</xdr:rowOff>
    </xdr:from>
    <xdr:to>
      <xdr:col>13</xdr:col>
      <xdr:colOff>295275</xdr:colOff>
      <xdr:row>56</xdr:row>
      <xdr:rowOff>57150</xdr:rowOff>
    </xdr:to>
    <xdr:pic>
      <xdr:nvPicPr>
        <xdr:cNvPr id="8" name="Obraz 7">
          <a:extLst>
            <a:ext uri="{FF2B5EF4-FFF2-40B4-BE49-F238E27FC236}">
              <a16:creationId xmlns:a16="http://schemas.microsoft.com/office/drawing/2014/main" id="{9207DA72-C3BB-4A92-B52A-E74F5E39B3D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19200" y="5667375"/>
          <a:ext cx="7000875" cy="3571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581024</xdr:colOff>
      <xdr:row>0</xdr:row>
      <xdr:rowOff>1</xdr:rowOff>
    </xdr:from>
    <xdr:to>
      <xdr:col>27</xdr:col>
      <xdr:colOff>0</xdr:colOff>
      <xdr:row>9</xdr:row>
      <xdr:rowOff>95251</xdr:rowOff>
    </xdr:to>
    <xdr:graphicFrame macro="">
      <xdr:nvGraphicFramePr>
        <xdr:cNvPr id="2" name="Wykres 1">
          <a:extLst>
            <a:ext uri="{FF2B5EF4-FFF2-40B4-BE49-F238E27FC236}">
              <a16:creationId xmlns:a16="http://schemas.microsoft.com/office/drawing/2014/main" id="{90168F3E-7608-4BE5-9AD7-DD8FB33350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19050</xdr:colOff>
      <xdr:row>10</xdr:row>
      <xdr:rowOff>171450</xdr:rowOff>
    </xdr:from>
    <xdr:to>
      <xdr:col>27</xdr:col>
      <xdr:colOff>0</xdr:colOff>
      <xdr:row>19</xdr:row>
      <xdr:rowOff>180976</xdr:rowOff>
    </xdr:to>
    <xdr:graphicFrame macro="">
      <xdr:nvGraphicFramePr>
        <xdr:cNvPr id="7" name="Wykres 6">
          <a:extLst>
            <a:ext uri="{FF2B5EF4-FFF2-40B4-BE49-F238E27FC236}">
              <a16:creationId xmlns:a16="http://schemas.microsoft.com/office/drawing/2014/main" id="{9341D16D-0F5F-497E-9D6D-2631964486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127000</xdr:colOff>
      <xdr:row>5</xdr:row>
      <xdr:rowOff>31750</xdr:rowOff>
    </xdr:from>
    <xdr:to>
      <xdr:col>9</xdr:col>
      <xdr:colOff>23811</xdr:colOff>
      <xdr:row>5</xdr:row>
      <xdr:rowOff>198437</xdr:rowOff>
    </xdr:to>
    <xdr:sp macro="" textlink="">
      <xdr:nvSpPr>
        <xdr:cNvPr id="3" name="Strzałka: w prawo 2" descr="c25094f6-e80f-4dc2-9efc-f412150aecb1">
          <a:extLst>
            <a:ext uri="{FF2B5EF4-FFF2-40B4-BE49-F238E27FC236}">
              <a16:creationId xmlns:a16="http://schemas.microsoft.com/office/drawing/2014/main" id="{3FB39CD3-0287-41BC-B3F8-1F3F6655431E}"/>
            </a:ext>
          </a:extLst>
        </xdr:cNvPr>
        <xdr:cNvSpPr/>
      </xdr:nvSpPr>
      <xdr:spPr>
        <a:xfrm>
          <a:off x="2571750" y="1016000"/>
          <a:ext cx="2952749" cy="1666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4</xdr:col>
      <xdr:colOff>111124</xdr:colOff>
      <xdr:row>3</xdr:row>
      <xdr:rowOff>15875</xdr:rowOff>
    </xdr:from>
    <xdr:to>
      <xdr:col>11</xdr:col>
      <xdr:colOff>579437</xdr:colOff>
      <xdr:row>3</xdr:row>
      <xdr:rowOff>174625</xdr:rowOff>
    </xdr:to>
    <xdr:sp macro="" textlink="">
      <xdr:nvSpPr>
        <xdr:cNvPr id="6" name="Strzałka: w prawo 5" descr="c962a71b-65c1-492f-a01a-e87a0150952e">
          <a:extLst>
            <a:ext uri="{FF2B5EF4-FFF2-40B4-BE49-F238E27FC236}">
              <a16:creationId xmlns:a16="http://schemas.microsoft.com/office/drawing/2014/main" id="{1F31F11D-2F54-41A9-9FD7-7E4EE02EBE49}"/>
            </a:ext>
          </a:extLst>
        </xdr:cNvPr>
        <xdr:cNvSpPr/>
      </xdr:nvSpPr>
      <xdr:spPr>
        <a:xfrm rot="10800000">
          <a:off x="2555874" y="611188"/>
          <a:ext cx="4746626" cy="158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4</xdr:col>
      <xdr:colOff>39686</xdr:colOff>
      <xdr:row>13</xdr:row>
      <xdr:rowOff>7938</xdr:rowOff>
    </xdr:from>
    <xdr:to>
      <xdr:col>10</xdr:col>
      <xdr:colOff>571499</xdr:colOff>
      <xdr:row>14</xdr:row>
      <xdr:rowOff>15874</xdr:rowOff>
    </xdr:to>
    <xdr:sp macro="" textlink="">
      <xdr:nvSpPr>
        <xdr:cNvPr id="9" name="Strzałka: w prawo 8" descr="66086b81-4ffa-4e13-b987-1a949ddc2463">
          <a:extLst>
            <a:ext uri="{FF2B5EF4-FFF2-40B4-BE49-F238E27FC236}">
              <a16:creationId xmlns:a16="http://schemas.microsoft.com/office/drawing/2014/main" id="{48187DED-3FFA-4E93-A5D9-54DC2CEC6D25}"/>
            </a:ext>
          </a:extLst>
        </xdr:cNvPr>
        <xdr:cNvSpPr/>
      </xdr:nvSpPr>
      <xdr:spPr>
        <a:xfrm rot="10800000">
          <a:off x="2484436" y="2547938"/>
          <a:ext cx="4198938" cy="1984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4</xdr:col>
      <xdr:colOff>0</xdr:colOff>
      <xdr:row>16</xdr:row>
      <xdr:rowOff>0</xdr:rowOff>
    </xdr:from>
    <xdr:to>
      <xdr:col>5</xdr:col>
      <xdr:colOff>174625</xdr:colOff>
      <xdr:row>16</xdr:row>
      <xdr:rowOff>182562</xdr:rowOff>
    </xdr:to>
    <xdr:sp macro="" textlink="">
      <xdr:nvSpPr>
        <xdr:cNvPr id="11" name="Strzałka: w prawo 10" descr="d39df5c0-f643-42b9-a1fa-607d02992a6a">
          <a:extLst>
            <a:ext uri="{FF2B5EF4-FFF2-40B4-BE49-F238E27FC236}">
              <a16:creationId xmlns:a16="http://schemas.microsoft.com/office/drawing/2014/main" id="{8FAACB3C-31F5-4B81-BECC-200E69041784}"/>
            </a:ext>
          </a:extLst>
        </xdr:cNvPr>
        <xdr:cNvSpPr/>
      </xdr:nvSpPr>
      <xdr:spPr>
        <a:xfrm>
          <a:off x="2444750" y="3135313"/>
          <a:ext cx="785813" cy="1825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171450</xdr:colOff>
      <xdr:row>2</xdr:row>
      <xdr:rowOff>0</xdr:rowOff>
    </xdr:from>
    <xdr:to>
      <xdr:col>9</xdr:col>
      <xdr:colOff>485775</xdr:colOff>
      <xdr:row>18</xdr:row>
      <xdr:rowOff>76200</xdr:rowOff>
    </xdr:to>
    <xdr:graphicFrame macro="">
      <xdr:nvGraphicFramePr>
        <xdr:cNvPr id="2" name="Chart 1">
          <a:extLst>
            <a:ext uri="{FF2B5EF4-FFF2-40B4-BE49-F238E27FC236}">
              <a16:creationId xmlns:a16="http://schemas.microsoft.com/office/drawing/2014/main" id="{814BF5B8-C1E0-4CE6-829C-6F6106DCB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142875</xdr:colOff>
      <xdr:row>19</xdr:row>
      <xdr:rowOff>95250</xdr:rowOff>
    </xdr:from>
    <xdr:to>
      <xdr:col>9</xdr:col>
      <xdr:colOff>466725</xdr:colOff>
      <xdr:row>36</xdr:row>
      <xdr:rowOff>19050</xdr:rowOff>
    </xdr:to>
    <xdr:graphicFrame macro="">
      <xdr:nvGraphicFramePr>
        <xdr:cNvPr id="3" name="Chart 3">
          <a:extLst>
            <a:ext uri="{FF2B5EF4-FFF2-40B4-BE49-F238E27FC236}">
              <a16:creationId xmlns:a16="http://schemas.microsoft.com/office/drawing/2014/main" id="{5DDD5AB8-2FF3-4D1C-B5AE-216217EFDA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xdr:row>
      <xdr:rowOff>9525</xdr:rowOff>
    </xdr:from>
    <xdr:to>
      <xdr:col>17</xdr:col>
      <xdr:colOff>333375</xdr:colOff>
      <xdr:row>18</xdr:row>
      <xdr:rowOff>104775</xdr:rowOff>
    </xdr:to>
    <xdr:graphicFrame macro="">
      <xdr:nvGraphicFramePr>
        <xdr:cNvPr id="4" name="Chart 4">
          <a:extLst>
            <a:ext uri="{FF2B5EF4-FFF2-40B4-BE49-F238E27FC236}">
              <a16:creationId xmlns:a16="http://schemas.microsoft.com/office/drawing/2014/main" id="{4505BFEB-BDBC-455B-95DE-89E631DF09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28575</xdr:colOff>
      <xdr:row>19</xdr:row>
      <xdr:rowOff>152400</xdr:rowOff>
    </xdr:from>
    <xdr:to>
      <xdr:col>17</xdr:col>
      <xdr:colOff>371475</xdr:colOff>
      <xdr:row>36</xdr:row>
      <xdr:rowOff>95250</xdr:rowOff>
    </xdr:to>
    <xdr:graphicFrame macro="">
      <xdr:nvGraphicFramePr>
        <xdr:cNvPr id="5" name="Chart 5">
          <a:extLst>
            <a:ext uri="{FF2B5EF4-FFF2-40B4-BE49-F238E27FC236}">
              <a16:creationId xmlns:a16="http://schemas.microsoft.com/office/drawing/2014/main" id="{6A726D5B-9A60-482D-86A5-E48954E95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O36:U38"/>
  <sheetViews>
    <sheetView tabSelected="1" zoomScale="55" zoomScaleNormal="55" workbookViewId="0">
      <selection activeCell="O32" sqref="O32"/>
    </sheetView>
  </sheetViews>
  <sheetFormatPr defaultRowHeight="13.2" x14ac:dyDescent="0.25"/>
  <sheetData>
    <row r="36" spans="15:21" ht="15.6" x14ac:dyDescent="0.3">
      <c r="O36" s="24" t="s">
        <v>32</v>
      </c>
      <c r="P36" s="24"/>
      <c r="Q36" s="24"/>
      <c r="R36" s="24"/>
      <c r="S36" s="24"/>
      <c r="T36" s="24"/>
      <c r="U36" s="24"/>
    </row>
    <row r="37" spans="15:21" ht="15.6" x14ac:dyDescent="0.3">
      <c r="O37" s="24" t="s">
        <v>33</v>
      </c>
      <c r="P37" s="24"/>
      <c r="Q37" s="24"/>
      <c r="R37" s="24"/>
      <c r="S37" s="24"/>
      <c r="T37" s="24"/>
      <c r="U37" s="24"/>
    </row>
    <row r="38" spans="15:21" ht="15.6" x14ac:dyDescent="0.3">
      <c r="O38" s="24" t="s">
        <v>34</v>
      </c>
      <c r="P38" s="24"/>
      <c r="Q38" s="24"/>
      <c r="R38" s="24"/>
      <c r="S38" s="24"/>
      <c r="T38" s="24"/>
      <c r="U38" s="24"/>
    </row>
  </sheetData>
  <phoneticPr fontId="0"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B3:T6"/>
  <sheetViews>
    <sheetView workbookViewId="0">
      <selection activeCell="Q4" sqref="Q4"/>
    </sheetView>
  </sheetViews>
  <sheetFormatPr defaultRowHeight="13.2" x14ac:dyDescent="0.25"/>
  <sheetData>
    <row r="3" spans="2:20" ht="21" x14ac:dyDescent="0.4">
      <c r="B3" s="37" t="s">
        <v>99</v>
      </c>
      <c r="C3" s="37"/>
      <c r="D3" s="37"/>
      <c r="E3" s="37"/>
      <c r="F3" s="37"/>
      <c r="G3" s="37"/>
      <c r="H3" s="37"/>
      <c r="I3" s="37"/>
      <c r="J3" s="37"/>
      <c r="K3" s="37"/>
      <c r="Q3" s="67" t="s">
        <v>131</v>
      </c>
      <c r="R3" s="67"/>
      <c r="S3" s="67"/>
      <c r="T3" s="68"/>
    </row>
    <row r="4" spans="2:20" ht="21" x14ac:dyDescent="0.4">
      <c r="B4" s="37"/>
      <c r="C4" s="37"/>
      <c r="D4" s="37"/>
      <c r="E4" s="37"/>
      <c r="F4" s="37"/>
      <c r="G4" s="37"/>
      <c r="H4" s="37"/>
      <c r="I4" s="37"/>
      <c r="J4" s="37"/>
      <c r="K4" s="37"/>
    </row>
    <row r="5" spans="2:20" ht="21" x14ac:dyDescent="0.4">
      <c r="B5" s="37" t="s">
        <v>86</v>
      </c>
      <c r="C5" s="37"/>
      <c r="D5" s="37"/>
      <c r="E5" s="37"/>
      <c r="F5" s="37"/>
      <c r="G5" s="37"/>
      <c r="H5" s="37"/>
      <c r="I5" s="37"/>
      <c r="J5" s="37"/>
      <c r="K5" s="37" t="s">
        <v>98</v>
      </c>
    </row>
    <row r="6" spans="2:20" ht="21" x14ac:dyDescent="0.4">
      <c r="B6" s="37"/>
      <c r="C6" s="37"/>
      <c r="D6" s="37"/>
      <c r="E6" s="37"/>
      <c r="F6" s="37"/>
      <c r="G6" s="37"/>
      <c r="H6" s="37"/>
      <c r="I6" s="37"/>
      <c r="J6" s="37"/>
      <c r="K6" s="3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S22"/>
  <sheetViews>
    <sheetView topLeftCell="I1" zoomScale="120" zoomScaleNormal="120" workbookViewId="0">
      <selection activeCell="L4" sqref="L4"/>
    </sheetView>
  </sheetViews>
  <sheetFormatPr defaultColWidth="9.109375" defaultRowHeight="14.4" x14ac:dyDescent="0.3"/>
  <cols>
    <col min="1" max="16384" width="9.109375" style="25"/>
  </cols>
  <sheetData>
    <row r="1" spans="1:19" ht="15" thickBot="1" x14ac:dyDescent="0.35"/>
    <row r="2" spans="1:19" ht="15" thickBot="1" x14ac:dyDescent="0.35">
      <c r="B2" s="34" t="s">
        <v>85</v>
      </c>
      <c r="C2" s="34"/>
      <c r="D2" s="34"/>
      <c r="E2" s="34"/>
      <c r="F2" s="34"/>
      <c r="M2" s="145" t="s">
        <v>93</v>
      </c>
      <c r="N2" s="146"/>
      <c r="O2" s="146"/>
      <c r="P2" s="146"/>
      <c r="Q2" s="146"/>
      <c r="R2" s="146"/>
      <c r="S2" s="147"/>
    </row>
    <row r="3" spans="1:19" ht="15" thickBot="1" x14ac:dyDescent="0.35">
      <c r="A3" s="153" t="s">
        <v>90</v>
      </c>
      <c r="B3" s="69" t="s">
        <v>72</v>
      </c>
      <c r="C3" s="70"/>
      <c r="D3" s="71"/>
      <c r="I3" s="152" t="s">
        <v>91</v>
      </c>
      <c r="J3" s="152"/>
      <c r="K3" s="152"/>
      <c r="L3" s="57">
        <f>+Solver!G3</f>
        <v>8542.090578506235</v>
      </c>
      <c r="M3" s="48">
        <v>7000</v>
      </c>
      <c r="N3" s="48">
        <v>8000</v>
      </c>
      <c r="O3" s="48">
        <v>9000</v>
      </c>
      <c r="P3" s="48">
        <v>10000</v>
      </c>
      <c r="Q3" s="48">
        <v>11000</v>
      </c>
      <c r="R3" s="48">
        <v>12000</v>
      </c>
      <c r="S3" s="49">
        <v>13000</v>
      </c>
    </row>
    <row r="4" spans="1:19" x14ac:dyDescent="0.3">
      <c r="A4" s="154"/>
      <c r="B4" s="72" t="s">
        <v>101</v>
      </c>
      <c r="C4" s="73"/>
      <c r="D4" s="74"/>
      <c r="L4" s="29"/>
      <c r="M4" s="52"/>
      <c r="N4" s="52"/>
      <c r="O4" s="52"/>
      <c r="P4" s="52"/>
      <c r="Q4" s="52"/>
      <c r="R4" s="52"/>
      <c r="S4" s="53"/>
    </row>
    <row r="5" spans="1:19" ht="15" thickBot="1" x14ac:dyDescent="0.35">
      <c r="A5" s="154"/>
      <c r="B5" s="72" t="s">
        <v>102</v>
      </c>
      <c r="C5" s="73"/>
      <c r="D5" s="74"/>
      <c r="I5" s="47"/>
      <c r="M5" s="50">
        <v>2000</v>
      </c>
      <c r="N5" s="50">
        <v>3000</v>
      </c>
      <c r="O5" s="50">
        <v>3800</v>
      </c>
      <c r="P5" s="50">
        <v>4300</v>
      </c>
      <c r="Q5" s="50">
        <v>4500</v>
      </c>
      <c r="R5" s="50">
        <v>4800</v>
      </c>
      <c r="S5" s="51">
        <v>5000</v>
      </c>
    </row>
    <row r="6" spans="1:19" ht="15" thickBot="1" x14ac:dyDescent="0.35">
      <c r="A6" s="154"/>
      <c r="B6" s="72" t="s">
        <v>103</v>
      </c>
      <c r="C6" s="73"/>
      <c r="D6" s="74"/>
      <c r="J6" s="148" t="s">
        <v>92</v>
      </c>
      <c r="K6" s="148"/>
      <c r="L6" s="58">
        <f>$L$7*L3^3+$L$8*L3^2+$L$9*L3+$L$10</f>
        <v>3478.9211251763663</v>
      </c>
    </row>
    <row r="7" spans="1:19" ht="15" thickBot="1" x14ac:dyDescent="0.35">
      <c r="A7" s="155"/>
      <c r="B7" s="75" t="s">
        <v>104</v>
      </c>
      <c r="C7" s="76"/>
      <c r="D7" s="77"/>
      <c r="L7" s="26">
        <v>1.38888888888748E-8</v>
      </c>
    </row>
    <row r="8" spans="1:19" x14ac:dyDescent="0.3">
      <c r="D8"/>
      <c r="L8" s="26">
        <v>-5.0119047619005602E-4</v>
      </c>
    </row>
    <row r="9" spans="1:19" x14ac:dyDescent="0.3">
      <c r="D9"/>
      <c r="L9" s="25">
        <v>6.2349206349165698</v>
      </c>
    </row>
    <row r="10" spans="1:19" x14ac:dyDescent="0.3">
      <c r="L10" s="25">
        <v>-21866.666666653899</v>
      </c>
    </row>
    <row r="11" spans="1:19" ht="15" thickBot="1" x14ac:dyDescent="0.35"/>
    <row r="12" spans="1:19" ht="15" thickBot="1" x14ac:dyDescent="0.35">
      <c r="B12" s="34" t="s">
        <v>84</v>
      </c>
      <c r="L12" s="145" t="s">
        <v>95</v>
      </c>
      <c r="M12" s="146"/>
      <c r="N12" s="146"/>
      <c r="O12" s="146"/>
      <c r="P12" s="146"/>
      <c r="Q12" s="146"/>
      <c r="R12" s="147"/>
    </row>
    <row r="13" spans="1:19" ht="15" customHeight="1" x14ac:dyDescent="0.3">
      <c r="A13" s="149" t="s">
        <v>90</v>
      </c>
      <c r="B13" s="66" t="s">
        <v>72</v>
      </c>
      <c r="C13" s="59"/>
      <c r="D13" s="60"/>
      <c r="J13" s="99" t="s">
        <v>92</v>
      </c>
      <c r="K13" s="100"/>
      <c r="L13" s="48">
        <v>2000</v>
      </c>
      <c r="M13" s="48">
        <v>3000</v>
      </c>
      <c r="N13" s="48">
        <v>3800</v>
      </c>
      <c r="O13" s="48">
        <v>4300</v>
      </c>
      <c r="P13" s="48">
        <v>4500</v>
      </c>
      <c r="Q13" s="48">
        <v>4800</v>
      </c>
      <c r="R13" s="49">
        <v>5000</v>
      </c>
    </row>
    <row r="14" spans="1:19" x14ac:dyDescent="0.3">
      <c r="A14" s="150"/>
      <c r="B14" s="118" t="s">
        <v>120</v>
      </c>
      <c r="C14" s="61"/>
      <c r="D14" s="62"/>
      <c r="L14" s="52"/>
      <c r="M14" s="52"/>
      <c r="N14" s="52"/>
      <c r="O14" s="52"/>
      <c r="P14" s="52"/>
      <c r="Q14" s="52"/>
      <c r="R14" s="53"/>
    </row>
    <row r="15" spans="1:19" ht="16.2" thickBot="1" x14ac:dyDescent="0.35">
      <c r="A15" s="150"/>
      <c r="B15" s="78" t="s">
        <v>105</v>
      </c>
      <c r="C15" s="61"/>
      <c r="D15" s="62"/>
      <c r="H15" s="148" t="s">
        <v>94</v>
      </c>
      <c r="I15" s="148"/>
      <c r="J15" s="148"/>
      <c r="K15" s="156"/>
      <c r="L15" s="54">
        <v>1</v>
      </c>
      <c r="M15" s="55">
        <v>0.9</v>
      </c>
      <c r="N15" s="55">
        <v>0.8</v>
      </c>
      <c r="O15" s="55">
        <v>0.7</v>
      </c>
      <c r="P15" s="55">
        <v>0.65</v>
      </c>
      <c r="Q15" s="55">
        <v>0.6</v>
      </c>
      <c r="R15" s="56">
        <v>0.55000000000000004</v>
      </c>
    </row>
    <row r="16" spans="1:19" ht="15" thickBot="1" x14ac:dyDescent="0.35">
      <c r="A16" s="150"/>
      <c r="B16" s="78" t="s">
        <v>106</v>
      </c>
      <c r="C16" s="61"/>
      <c r="D16" s="62"/>
    </row>
    <row r="17" spans="1:13" ht="15" thickBot="1" x14ac:dyDescent="0.35">
      <c r="A17" s="151"/>
      <c r="B17" s="79" t="s">
        <v>107</v>
      </c>
      <c r="C17" s="63"/>
      <c r="D17" s="64"/>
      <c r="E17" s="152" t="s">
        <v>96</v>
      </c>
      <c r="F17" s="152"/>
      <c r="G17" s="152"/>
      <c r="H17" s="152"/>
      <c r="I17" s="152"/>
      <c r="J17" s="152"/>
      <c r="K17" s="30">
        <f>L6</f>
        <v>3478.9211251763663</v>
      </c>
      <c r="L17" s="34" t="s">
        <v>97</v>
      </c>
      <c r="M17" s="65">
        <f>L19*K17^3+L20*K17^2+L21*K17+L22</f>
        <v>0.8405287043262637</v>
      </c>
    </row>
    <row r="19" spans="1:13" x14ac:dyDescent="0.3">
      <c r="L19" s="26">
        <v>-9.2886430673882497E-13</v>
      </c>
    </row>
    <row r="20" spans="1:13" x14ac:dyDescent="0.3">
      <c r="L20" s="26">
        <v>-1.8349721529381599E-8</v>
      </c>
    </row>
    <row r="21" spans="1:13" x14ac:dyDescent="0.3">
      <c r="L21" s="26">
        <v>1.4650561696891301E-5</v>
      </c>
    </row>
    <row r="22" spans="1:13" x14ac:dyDescent="0.3">
      <c r="L22" s="25">
        <v>1.0507550956724301</v>
      </c>
    </row>
  </sheetData>
  <mergeCells count="8">
    <mergeCell ref="M2:S2"/>
    <mergeCell ref="L12:R12"/>
    <mergeCell ref="J6:K6"/>
    <mergeCell ref="A13:A17"/>
    <mergeCell ref="E17:J17"/>
    <mergeCell ref="A3:A7"/>
    <mergeCell ref="I3:K3"/>
    <mergeCell ref="H15:K1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7430F-9AB5-4F67-8BE5-D4EECC05BEA2}">
  <dimension ref="H8:AH12"/>
  <sheetViews>
    <sheetView topLeftCell="F1" zoomScale="70" zoomScaleNormal="70" workbookViewId="0">
      <selection activeCell="N15" sqref="N15"/>
    </sheetView>
  </sheetViews>
  <sheetFormatPr defaultRowHeight="13.2" x14ac:dyDescent="0.25"/>
  <cols>
    <col min="10" max="12" width="23.6640625" customWidth="1"/>
  </cols>
  <sheetData>
    <row r="8" spans="8:34" ht="13.8" thickBot="1" x14ac:dyDescent="0.3"/>
    <row r="9" spans="8:34" ht="42" customHeight="1" x14ac:dyDescent="0.35">
      <c r="H9" s="25"/>
      <c r="I9" s="25"/>
      <c r="J9" s="157" t="s">
        <v>108</v>
      </c>
      <c r="K9" s="159" t="s">
        <v>116</v>
      </c>
      <c r="L9" s="161" t="s">
        <v>113</v>
      </c>
      <c r="M9" s="106">
        <v>1</v>
      </c>
      <c r="N9" s="101">
        <v>2</v>
      </c>
      <c r="O9" s="101">
        <v>3</v>
      </c>
      <c r="P9" s="101">
        <v>4</v>
      </c>
      <c r="Q9" s="101">
        <v>5</v>
      </c>
      <c r="R9" s="102">
        <v>6</v>
      </c>
      <c r="S9" s="102">
        <v>7</v>
      </c>
      <c r="T9" s="102">
        <v>8</v>
      </c>
      <c r="U9" s="102">
        <v>9</v>
      </c>
      <c r="V9" s="102">
        <v>10</v>
      </c>
      <c r="W9" s="102">
        <v>11</v>
      </c>
      <c r="X9" s="102">
        <v>12</v>
      </c>
      <c r="Y9" s="102">
        <v>13</v>
      </c>
      <c r="Z9" s="102">
        <v>14</v>
      </c>
      <c r="AA9" s="102">
        <v>15</v>
      </c>
      <c r="AB9" s="102">
        <v>16</v>
      </c>
      <c r="AC9" s="102">
        <v>17</v>
      </c>
      <c r="AD9" s="102">
        <v>18</v>
      </c>
      <c r="AE9" s="102">
        <v>19</v>
      </c>
      <c r="AF9" s="102">
        <v>20</v>
      </c>
      <c r="AG9" s="102">
        <v>21</v>
      </c>
      <c r="AH9" s="103">
        <v>22</v>
      </c>
    </row>
    <row r="10" spans="8:34" ht="42" customHeight="1" thickBot="1" x14ac:dyDescent="0.35">
      <c r="H10" s="25"/>
      <c r="I10" s="25"/>
      <c r="J10" s="158"/>
      <c r="K10" s="160"/>
      <c r="L10" s="162"/>
      <c r="M10" s="109">
        <v>2025</v>
      </c>
      <c r="N10" s="110">
        <v>2026</v>
      </c>
      <c r="O10" s="110">
        <v>2027</v>
      </c>
      <c r="P10" s="110">
        <f t="shared" ref="P10:AH10" si="0">O10+1</f>
        <v>2028</v>
      </c>
      <c r="Q10" s="110">
        <f t="shared" si="0"/>
        <v>2029</v>
      </c>
      <c r="R10" s="111">
        <f t="shared" si="0"/>
        <v>2030</v>
      </c>
      <c r="S10" s="111">
        <f t="shared" si="0"/>
        <v>2031</v>
      </c>
      <c r="T10" s="111">
        <f t="shared" si="0"/>
        <v>2032</v>
      </c>
      <c r="U10" s="111">
        <f t="shared" si="0"/>
        <v>2033</v>
      </c>
      <c r="V10" s="111">
        <f t="shared" si="0"/>
        <v>2034</v>
      </c>
      <c r="W10" s="111">
        <f t="shared" si="0"/>
        <v>2035</v>
      </c>
      <c r="X10" s="111">
        <f t="shared" si="0"/>
        <v>2036</v>
      </c>
      <c r="Y10" s="111">
        <f t="shared" si="0"/>
        <v>2037</v>
      </c>
      <c r="Z10" s="111">
        <f t="shared" si="0"/>
        <v>2038</v>
      </c>
      <c r="AA10" s="111">
        <f t="shared" si="0"/>
        <v>2039</v>
      </c>
      <c r="AB10" s="111">
        <f t="shared" si="0"/>
        <v>2040</v>
      </c>
      <c r="AC10" s="111">
        <f t="shared" si="0"/>
        <v>2041</v>
      </c>
      <c r="AD10" s="111">
        <f t="shared" si="0"/>
        <v>2042</v>
      </c>
      <c r="AE10" s="111">
        <f t="shared" si="0"/>
        <v>2043</v>
      </c>
      <c r="AF10" s="111">
        <f t="shared" si="0"/>
        <v>2044</v>
      </c>
      <c r="AG10" s="111">
        <f t="shared" si="0"/>
        <v>2045</v>
      </c>
      <c r="AH10" s="112">
        <f t="shared" si="0"/>
        <v>2046</v>
      </c>
    </row>
    <row r="11" spans="8:34" ht="18" x14ac:dyDescent="0.35">
      <c r="J11" s="163" t="s">
        <v>114</v>
      </c>
      <c r="K11" s="164"/>
      <c r="L11" s="113">
        <v>0.3</v>
      </c>
      <c r="M11" s="114">
        <v>0.5</v>
      </c>
      <c r="N11" s="115">
        <v>0.6</v>
      </c>
      <c r="O11" s="115">
        <v>0.7</v>
      </c>
      <c r="P11" s="115">
        <v>0.8</v>
      </c>
      <c r="Q11" s="115">
        <v>0.9</v>
      </c>
      <c r="R11" s="116">
        <v>1</v>
      </c>
      <c r="S11" s="116">
        <v>1</v>
      </c>
      <c r="T11" s="116">
        <v>1</v>
      </c>
      <c r="U11" s="116">
        <v>1</v>
      </c>
      <c r="V11" s="116">
        <v>1</v>
      </c>
      <c r="W11" s="116">
        <v>1</v>
      </c>
      <c r="X11" s="116">
        <v>1</v>
      </c>
      <c r="Y11" s="116">
        <v>1</v>
      </c>
      <c r="Z11" s="116">
        <v>1</v>
      </c>
      <c r="AA11" s="116">
        <v>1</v>
      </c>
      <c r="AB11" s="116">
        <v>1</v>
      </c>
      <c r="AC11" s="116">
        <v>1</v>
      </c>
      <c r="AD11" s="116">
        <v>1</v>
      </c>
      <c r="AE11" s="116">
        <v>1</v>
      </c>
      <c r="AF11" s="116">
        <v>1</v>
      </c>
      <c r="AG11" s="116">
        <v>1</v>
      </c>
      <c r="AH11" s="117">
        <v>1</v>
      </c>
    </row>
    <row r="12" spans="8:34" ht="21.6" thickBot="1" x14ac:dyDescent="0.45">
      <c r="J12" s="165" t="s">
        <v>115</v>
      </c>
      <c r="K12" s="166"/>
      <c r="L12" s="108">
        <f>L11*'Zależności wskaźników'!$M$17</f>
        <v>0.25215861129787909</v>
      </c>
      <c r="M12" s="107">
        <f>M11*'Zależności wskaźników'!$M$17</f>
        <v>0.42026435216313185</v>
      </c>
      <c r="N12" s="104">
        <f>N11*'Zależności wskaźników'!$M$17</f>
        <v>0.50431722259575817</v>
      </c>
      <c r="O12" s="104">
        <f>O11*'Zależności wskaźników'!$M$17</f>
        <v>0.5883700930283845</v>
      </c>
      <c r="P12" s="104">
        <f>P11*'Zależności wskaźników'!$M$17</f>
        <v>0.67242296346101105</v>
      </c>
      <c r="Q12" s="104">
        <f>Q11*'Zależności wskaźników'!$M$17</f>
        <v>0.75647583389363737</v>
      </c>
      <c r="R12" s="104">
        <f>R11*'Zależności wskaźników'!$M$17</f>
        <v>0.8405287043262637</v>
      </c>
      <c r="S12" s="104">
        <f>S11*'Zależności wskaźników'!$M$17</f>
        <v>0.8405287043262637</v>
      </c>
      <c r="T12" s="104">
        <f>T11*'Zależności wskaźników'!$M$17</f>
        <v>0.8405287043262637</v>
      </c>
      <c r="U12" s="104">
        <f>U11*'Zależności wskaźników'!$M$17</f>
        <v>0.8405287043262637</v>
      </c>
      <c r="V12" s="104">
        <f>V11*'Zależności wskaźników'!$M$17</f>
        <v>0.8405287043262637</v>
      </c>
      <c r="W12" s="104">
        <f>W11*'Zależności wskaźników'!$M$17</f>
        <v>0.8405287043262637</v>
      </c>
      <c r="X12" s="104">
        <f>X11*'Zależności wskaźników'!$M$17</f>
        <v>0.8405287043262637</v>
      </c>
      <c r="Y12" s="104">
        <f>Y11*'Zależności wskaźników'!$M$17</f>
        <v>0.8405287043262637</v>
      </c>
      <c r="Z12" s="104">
        <f>Z11*'Zależności wskaźników'!$M$17</f>
        <v>0.8405287043262637</v>
      </c>
      <c r="AA12" s="104">
        <f>AA11*'Zależności wskaźników'!$M$17</f>
        <v>0.8405287043262637</v>
      </c>
      <c r="AB12" s="104">
        <f>AB11*'Zależności wskaźników'!$M$17</f>
        <v>0.8405287043262637</v>
      </c>
      <c r="AC12" s="104">
        <f>AC11*'Zależności wskaźników'!$M$17</f>
        <v>0.8405287043262637</v>
      </c>
      <c r="AD12" s="104">
        <f>AD11*'Zależności wskaźników'!$M$17</f>
        <v>0.8405287043262637</v>
      </c>
      <c r="AE12" s="104">
        <f>AE11*'Zależności wskaźników'!$M$17</f>
        <v>0.8405287043262637</v>
      </c>
      <c r="AF12" s="104">
        <f>AF11*'Zależności wskaźników'!$M$17</f>
        <v>0.8405287043262637</v>
      </c>
      <c r="AG12" s="104">
        <f>AG11*'Zależności wskaźników'!$M$17</f>
        <v>0.8405287043262637</v>
      </c>
      <c r="AH12" s="105">
        <f>AH11*'Zależności wskaźników'!$M$17</f>
        <v>0.8405287043262637</v>
      </c>
    </row>
  </sheetData>
  <mergeCells count="5">
    <mergeCell ref="J9:J10"/>
    <mergeCell ref="K9:K10"/>
    <mergeCell ref="L9:L10"/>
    <mergeCell ref="J11:K11"/>
    <mergeCell ref="J12:K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6"/>
  <dimension ref="A1:T38"/>
  <sheetViews>
    <sheetView zoomScale="70" zoomScaleNormal="70" workbookViewId="0">
      <selection activeCell="S21" sqref="S21"/>
    </sheetView>
  </sheetViews>
  <sheetFormatPr defaultRowHeight="13.2" x14ac:dyDescent="0.25"/>
  <cols>
    <col min="5" max="5" width="10.6640625" bestFit="1" customWidth="1"/>
  </cols>
  <sheetData>
    <row r="1" spans="1:20" ht="17.399999999999999" x14ac:dyDescent="0.3">
      <c r="A1" s="39"/>
      <c r="C1" s="39" t="s">
        <v>87</v>
      </c>
    </row>
    <row r="2" spans="1:20" ht="17.399999999999999" x14ac:dyDescent="0.3">
      <c r="A2" s="39"/>
      <c r="E2" s="40"/>
    </row>
    <row r="3" spans="1:20" ht="17.399999999999999" x14ac:dyDescent="0.3">
      <c r="A3" s="41"/>
      <c r="E3" s="40"/>
    </row>
    <row r="4" spans="1:20" ht="13.8" thickBot="1" x14ac:dyDescent="0.3">
      <c r="A4" s="42" t="s">
        <v>88</v>
      </c>
      <c r="B4" s="43" t="s">
        <v>89</v>
      </c>
    </row>
    <row r="5" spans="1:20" ht="15" thickBot="1" x14ac:dyDescent="0.35">
      <c r="A5" s="48">
        <v>7000</v>
      </c>
      <c r="B5" s="50">
        <v>2000</v>
      </c>
      <c r="C5">
        <v>9000</v>
      </c>
      <c r="D5">
        <v>10000</v>
      </c>
      <c r="E5">
        <v>11000</v>
      </c>
      <c r="F5">
        <v>12000</v>
      </c>
      <c r="G5">
        <v>13000</v>
      </c>
      <c r="H5">
        <v>0.55000000000000004</v>
      </c>
    </row>
    <row r="6" spans="1:20" ht="15" thickBot="1" x14ac:dyDescent="0.35">
      <c r="A6" s="48">
        <v>8000</v>
      </c>
      <c r="B6" s="50">
        <v>3000</v>
      </c>
    </row>
    <row r="7" spans="1:20" ht="15" thickBot="1" x14ac:dyDescent="0.35">
      <c r="A7" s="48">
        <v>9000</v>
      </c>
      <c r="B7" s="50">
        <v>3800</v>
      </c>
      <c r="T7" s="33"/>
    </row>
    <row r="8" spans="1:20" ht="15" thickBot="1" x14ac:dyDescent="0.35">
      <c r="A8" s="48">
        <v>10000</v>
      </c>
      <c r="B8" s="50">
        <v>4300</v>
      </c>
    </row>
    <row r="9" spans="1:20" ht="15" thickBot="1" x14ac:dyDescent="0.35">
      <c r="A9" s="48">
        <v>11000</v>
      </c>
      <c r="B9" s="50">
        <v>4500</v>
      </c>
      <c r="T9" s="33"/>
    </row>
    <row r="10" spans="1:20" ht="15" thickBot="1" x14ac:dyDescent="0.35">
      <c r="A10" s="48">
        <v>12000</v>
      </c>
      <c r="B10" s="50">
        <v>4800</v>
      </c>
    </row>
    <row r="11" spans="1:20" ht="15" thickBot="1" x14ac:dyDescent="0.35">
      <c r="A11" s="49">
        <v>13000</v>
      </c>
      <c r="B11" s="51">
        <v>5000</v>
      </c>
    </row>
    <row r="12" spans="1:20" x14ac:dyDescent="0.25">
      <c r="A12" s="44"/>
      <c r="B12" s="45"/>
    </row>
    <row r="13" spans="1:20" x14ac:dyDescent="0.25">
      <c r="A13" s="44"/>
      <c r="B13" s="45"/>
    </row>
    <row r="14" spans="1:20" x14ac:dyDescent="0.25">
      <c r="A14" s="44"/>
      <c r="B14" s="45"/>
    </row>
    <row r="15" spans="1:20" x14ac:dyDescent="0.25">
      <c r="A15" s="44"/>
      <c r="B15" s="45"/>
    </row>
    <row r="16" spans="1:20" x14ac:dyDescent="0.25">
      <c r="A16" s="44"/>
      <c r="B16" s="45"/>
    </row>
    <row r="17" spans="1:2" x14ac:dyDescent="0.25">
      <c r="A17" s="44"/>
      <c r="B17" s="45"/>
    </row>
    <row r="18" spans="1:2" x14ac:dyDescent="0.25">
      <c r="A18" s="44"/>
      <c r="B18" s="45"/>
    </row>
    <row r="19" spans="1:2" x14ac:dyDescent="0.25">
      <c r="A19" s="44"/>
      <c r="B19" s="45"/>
    </row>
    <row r="20" spans="1:2" x14ac:dyDescent="0.25">
      <c r="A20" s="44"/>
      <c r="B20" s="45"/>
    </row>
    <row r="21" spans="1:2" x14ac:dyDescent="0.25">
      <c r="A21" s="44"/>
      <c r="B21" s="45"/>
    </row>
    <row r="22" spans="1:2" x14ac:dyDescent="0.25">
      <c r="A22" s="44"/>
      <c r="B22" s="45"/>
    </row>
    <row r="23" spans="1:2" x14ac:dyDescent="0.25">
      <c r="A23" s="44"/>
      <c r="B23" s="45"/>
    </row>
    <row r="24" spans="1:2" x14ac:dyDescent="0.25">
      <c r="A24" s="44"/>
      <c r="B24" s="45"/>
    </row>
    <row r="25" spans="1:2" x14ac:dyDescent="0.25">
      <c r="A25" s="44"/>
      <c r="B25" s="45"/>
    </row>
    <row r="26" spans="1:2" x14ac:dyDescent="0.25">
      <c r="A26" s="44"/>
      <c r="B26" s="45"/>
    </row>
    <row r="27" spans="1:2" x14ac:dyDescent="0.25">
      <c r="A27" s="44"/>
      <c r="B27" s="45"/>
    </row>
    <row r="28" spans="1:2" x14ac:dyDescent="0.25">
      <c r="A28" s="44"/>
      <c r="B28" s="45"/>
    </row>
    <row r="29" spans="1:2" x14ac:dyDescent="0.25">
      <c r="A29" s="44"/>
      <c r="B29" s="45"/>
    </row>
    <row r="30" spans="1:2" x14ac:dyDescent="0.25">
      <c r="A30" s="44"/>
      <c r="B30" s="45"/>
    </row>
    <row r="31" spans="1:2" x14ac:dyDescent="0.25">
      <c r="A31" s="44"/>
      <c r="B31" s="45"/>
    </row>
    <row r="32" spans="1:2" x14ac:dyDescent="0.25">
      <c r="A32" s="44"/>
      <c r="B32" s="45"/>
    </row>
    <row r="33" spans="1:2" x14ac:dyDescent="0.25">
      <c r="A33" s="44"/>
      <c r="B33" s="45"/>
    </row>
    <row r="34" spans="1:2" x14ac:dyDescent="0.25">
      <c r="A34" s="44"/>
      <c r="B34" s="45"/>
    </row>
    <row r="35" spans="1:2" x14ac:dyDescent="0.25">
      <c r="A35" s="44"/>
      <c r="B35" s="45"/>
    </row>
    <row r="36" spans="1:2" x14ac:dyDescent="0.25">
      <c r="A36" s="44"/>
      <c r="B36" s="45"/>
    </row>
    <row r="37" spans="1:2" x14ac:dyDescent="0.25">
      <c r="A37" s="44"/>
      <c r="B37" s="45"/>
    </row>
    <row r="38" spans="1:2" x14ac:dyDescent="0.25">
      <c r="A38" s="44"/>
      <c r="B38" s="45"/>
    </row>
  </sheetData>
  <pageMargins left="0.75" right="0.75" top="1" bottom="1" header="0.5" footer="0.5"/>
  <pageSetup paperSize="9" orientation="portrait"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dimension ref="A1:W29"/>
  <sheetViews>
    <sheetView topLeftCell="A4" workbookViewId="0">
      <selection activeCell="K29" sqref="K29"/>
    </sheetView>
  </sheetViews>
  <sheetFormatPr defaultRowHeight="13.2" x14ac:dyDescent="0.25"/>
  <cols>
    <col min="3" max="3" width="17" bestFit="1" customWidth="1"/>
    <col min="7" max="7" width="17" customWidth="1"/>
    <col min="11" max="11" width="16" customWidth="1"/>
    <col min="12" max="20" width="11.33203125" bestFit="1" customWidth="1"/>
    <col min="21" max="23" width="9.6640625" bestFit="1" customWidth="1"/>
  </cols>
  <sheetData>
    <row r="1" spans="1:15" x14ac:dyDescent="0.25">
      <c r="A1" s="27" t="s">
        <v>74</v>
      </c>
      <c r="B1" s="27"/>
      <c r="C1" s="27"/>
      <c r="D1" s="27"/>
      <c r="E1" s="27"/>
      <c r="F1" s="27"/>
      <c r="G1" s="27"/>
      <c r="H1" s="27"/>
      <c r="I1" s="27"/>
      <c r="J1" s="27"/>
      <c r="K1" s="27"/>
      <c r="L1" s="27"/>
      <c r="M1" s="27"/>
      <c r="N1" s="27"/>
      <c r="O1" s="27"/>
    </row>
    <row r="2" spans="1:15" x14ac:dyDescent="0.25">
      <c r="A2" s="27"/>
      <c r="B2" s="27"/>
      <c r="C2" s="80">
        <v>2.1243977222952255E-2</v>
      </c>
      <c r="D2" s="27"/>
      <c r="E2" s="81" t="s">
        <v>77</v>
      </c>
      <c r="F2" s="82"/>
      <c r="G2" s="83"/>
      <c r="H2" s="27"/>
      <c r="I2" s="27"/>
      <c r="J2" s="27"/>
      <c r="K2" s="27"/>
      <c r="L2" s="27"/>
      <c r="M2" s="27"/>
      <c r="N2" s="27"/>
      <c r="O2" s="27"/>
    </row>
    <row r="3" spans="1:15" x14ac:dyDescent="0.25">
      <c r="A3" s="27" t="s">
        <v>75</v>
      </c>
      <c r="B3" s="27"/>
      <c r="C3" s="27"/>
      <c r="D3" s="27"/>
      <c r="E3" s="38">
        <f>+Solver!G4</f>
        <v>0.43361299883782567</v>
      </c>
      <c r="F3" s="84" t="s">
        <v>78</v>
      </c>
      <c r="G3" s="85">
        <f>E3*C4</f>
        <v>30287293.284363411</v>
      </c>
      <c r="H3" s="27"/>
      <c r="I3" s="27"/>
      <c r="J3" s="27"/>
      <c r="K3" s="27"/>
      <c r="L3" s="27"/>
      <c r="M3" s="27"/>
      <c r="N3" s="27"/>
      <c r="O3" s="27"/>
    </row>
    <row r="4" spans="1:15" x14ac:dyDescent="0.25">
      <c r="A4" s="27"/>
      <c r="B4" s="27"/>
      <c r="C4" s="86">
        <f>'Przepływy i NPV'!B37</f>
        <v>69848674.660445482</v>
      </c>
      <c r="D4" s="27"/>
      <c r="E4" s="81" t="s">
        <v>76</v>
      </c>
      <c r="F4" s="27"/>
      <c r="G4" s="87"/>
      <c r="H4" s="88" t="s">
        <v>79</v>
      </c>
      <c r="I4" s="89"/>
      <c r="J4" s="90" t="s">
        <v>80</v>
      </c>
      <c r="K4" s="89"/>
      <c r="L4" s="27"/>
      <c r="M4" s="27"/>
      <c r="N4" s="27"/>
      <c r="O4" s="27"/>
    </row>
    <row r="5" spans="1:15" x14ac:dyDescent="0.25">
      <c r="A5" s="27"/>
      <c r="B5" s="27"/>
      <c r="C5" s="27"/>
      <c r="D5" s="27"/>
      <c r="E5" s="81">
        <f>1-E3</f>
        <v>0.56638700116217433</v>
      </c>
      <c r="F5" s="84" t="s">
        <v>78</v>
      </c>
      <c r="G5" s="85">
        <f>E5*C4</f>
        <v>39561381.37608207</v>
      </c>
      <c r="H5" s="84"/>
      <c r="I5" s="91">
        <v>10</v>
      </c>
      <c r="J5" s="92"/>
      <c r="K5" s="85">
        <f>G5/I5</f>
        <v>3956138.1376082068</v>
      </c>
      <c r="L5" s="27"/>
      <c r="M5" s="27"/>
      <c r="N5" s="27"/>
      <c r="O5" s="27"/>
    </row>
    <row r="6" spans="1:15" x14ac:dyDescent="0.25">
      <c r="A6" s="27" t="s">
        <v>81</v>
      </c>
      <c r="B6" s="27"/>
      <c r="C6" s="27"/>
      <c r="D6" s="27"/>
      <c r="E6" s="27"/>
      <c r="F6" s="27"/>
      <c r="G6" s="27"/>
      <c r="H6" s="27"/>
      <c r="I6" s="27"/>
      <c r="J6" s="27"/>
      <c r="K6" s="27"/>
      <c r="L6" s="27"/>
      <c r="M6" s="27"/>
      <c r="N6" s="27"/>
      <c r="O6" s="27"/>
    </row>
    <row r="7" spans="1:15" x14ac:dyDescent="0.25">
      <c r="A7" s="27"/>
      <c r="B7" s="27"/>
      <c r="C7" s="46">
        <v>0.15</v>
      </c>
      <c r="D7" s="27"/>
      <c r="E7" s="27"/>
      <c r="F7" s="27"/>
      <c r="G7" s="27"/>
      <c r="H7" s="27"/>
      <c r="I7" s="167" t="s">
        <v>82</v>
      </c>
      <c r="J7" s="167"/>
      <c r="K7" s="167"/>
      <c r="L7" s="81">
        <f>'Przepływy i NPV'!C8</f>
        <v>26500000</v>
      </c>
      <c r="M7" s="81">
        <f>'Przepływy i NPV'!D8</f>
        <v>32944992.741938565</v>
      </c>
      <c r="N7" s="81">
        <f>'Przepływy i NPV'!E8</f>
        <v>10403681.918506915</v>
      </c>
      <c r="O7" s="27"/>
    </row>
    <row r="8" spans="1:15" x14ac:dyDescent="0.25">
      <c r="A8" s="27"/>
      <c r="B8" s="27"/>
      <c r="C8" s="27"/>
      <c r="D8" s="27"/>
      <c r="E8" s="27"/>
      <c r="F8" s="27"/>
      <c r="G8" s="27"/>
      <c r="H8" s="27"/>
      <c r="I8" s="167" t="s">
        <v>83</v>
      </c>
      <c r="J8" s="167"/>
      <c r="K8" s="167"/>
      <c r="L8" s="81">
        <f>$E$5*L7</f>
        <v>15009255.530797619</v>
      </c>
      <c r="M8" s="81">
        <f>$E$5*M7</f>
        <v>18659615.642416183</v>
      </c>
      <c r="N8" s="81">
        <f>$E$5*N7</f>
        <v>5892510.2028682679</v>
      </c>
      <c r="O8" s="27"/>
    </row>
    <row r="9" spans="1:15" x14ac:dyDescent="0.25">
      <c r="B9" s="27"/>
      <c r="C9" s="27"/>
      <c r="D9" s="95" t="s">
        <v>109</v>
      </c>
      <c r="E9" s="81" t="s">
        <v>23</v>
      </c>
      <c r="F9" s="81" t="s">
        <v>25</v>
      </c>
      <c r="G9" s="81" t="s">
        <v>24</v>
      </c>
      <c r="H9" s="27"/>
      <c r="I9" s="27"/>
    </row>
    <row r="10" spans="1:15" x14ac:dyDescent="0.25">
      <c r="B10" s="27"/>
      <c r="C10" s="27"/>
      <c r="D10" s="81">
        <v>1</v>
      </c>
      <c r="E10" s="81"/>
      <c r="F10" s="94">
        <f>E5*'Przepływy i NPV'!C8</f>
        <v>15009255.530797619</v>
      </c>
      <c r="G10" s="97">
        <f>$C$7*F10</f>
        <v>2251388.3296196428</v>
      </c>
      <c r="H10" s="27"/>
      <c r="I10" s="96">
        <f>G10</f>
        <v>2251388.3296196428</v>
      </c>
    </row>
    <row r="11" spans="1:15" x14ac:dyDescent="0.25">
      <c r="B11" s="27"/>
      <c r="C11" s="93">
        <f>F10+F11+F12</f>
        <v>39561381.37608207</v>
      </c>
      <c r="D11" s="81">
        <v>2</v>
      </c>
      <c r="E11" s="81"/>
      <c r="F11" s="94">
        <f>E5*'Przepływy i NPV'!D8</f>
        <v>18659615.642416183</v>
      </c>
      <c r="G11" s="97">
        <f>$C$7*(F10+F11)</f>
        <v>5050330.6759820702</v>
      </c>
      <c r="H11" s="27"/>
      <c r="I11" s="96">
        <f t="shared" ref="I11:I22" si="0">G11</f>
        <v>5050330.6759820702</v>
      </c>
    </row>
    <row r="12" spans="1:15" x14ac:dyDescent="0.25">
      <c r="B12" s="27"/>
      <c r="C12" s="27"/>
      <c r="D12" s="81">
        <v>3</v>
      </c>
      <c r="E12" s="81"/>
      <c r="F12" s="94">
        <f>E5*'Przepływy i NPV'!E8</f>
        <v>5892510.2028682679</v>
      </c>
      <c r="G12" s="97">
        <f>$C$7*(F10+F11+F12)</f>
        <v>5934207.2064123107</v>
      </c>
      <c r="H12" s="27"/>
      <c r="I12" s="96">
        <f t="shared" si="0"/>
        <v>5934207.2064123107</v>
      </c>
    </row>
    <row r="13" spans="1:15" x14ac:dyDescent="0.25">
      <c r="B13" s="27"/>
      <c r="C13" s="27"/>
      <c r="D13" s="81">
        <v>4</v>
      </c>
      <c r="E13" s="81">
        <f>K5</f>
        <v>3956138.1376082068</v>
      </c>
      <c r="F13" s="81">
        <f>G5</f>
        <v>39561381.37608207</v>
      </c>
      <c r="G13" s="97">
        <f t="shared" ref="G13:G22" si="1">$C$7*F13</f>
        <v>5934207.2064123107</v>
      </c>
      <c r="H13" s="27"/>
      <c r="I13" s="96">
        <f t="shared" si="0"/>
        <v>5934207.2064123107</v>
      </c>
    </row>
    <row r="14" spans="1:15" x14ac:dyDescent="0.25">
      <c r="B14" s="27"/>
      <c r="C14" s="27"/>
      <c r="D14" s="81">
        <v>5</v>
      </c>
      <c r="E14" s="81">
        <f>E13</f>
        <v>3956138.1376082068</v>
      </c>
      <c r="F14" s="81">
        <f>F13-E13</f>
        <v>35605243.238473862</v>
      </c>
      <c r="G14" s="97">
        <f t="shared" si="1"/>
        <v>5340786.4857710795</v>
      </c>
      <c r="H14" s="27"/>
      <c r="I14" s="96">
        <f t="shared" si="0"/>
        <v>5340786.4857710795</v>
      </c>
    </row>
    <row r="15" spans="1:15" x14ac:dyDescent="0.25">
      <c r="B15" s="27"/>
      <c r="C15" s="27"/>
      <c r="D15" s="81">
        <v>6</v>
      </c>
      <c r="E15" s="81">
        <f t="shared" ref="E15:E22" si="2">E14</f>
        <v>3956138.1376082068</v>
      </c>
      <c r="F15" s="81">
        <f t="shared" ref="F15:F22" si="3">F14-E14</f>
        <v>31649105.100865655</v>
      </c>
      <c r="G15" s="97">
        <f t="shared" si="1"/>
        <v>4747365.7651298484</v>
      </c>
      <c r="H15" s="27"/>
      <c r="I15" s="96">
        <f t="shared" si="0"/>
        <v>4747365.7651298484</v>
      </c>
    </row>
    <row r="16" spans="1:15" x14ac:dyDescent="0.25">
      <c r="B16" s="27"/>
      <c r="C16" s="27"/>
      <c r="D16" s="81">
        <v>7</v>
      </c>
      <c r="E16" s="81">
        <f t="shared" si="2"/>
        <v>3956138.1376082068</v>
      </c>
      <c r="F16" s="81">
        <f t="shared" si="3"/>
        <v>27692966.963257447</v>
      </c>
      <c r="G16" s="97">
        <f t="shared" si="1"/>
        <v>4153945.0444886168</v>
      </c>
      <c r="H16" s="27"/>
      <c r="I16" s="96">
        <f t="shared" si="0"/>
        <v>4153945.0444886168</v>
      </c>
    </row>
    <row r="17" spans="2:23" x14ac:dyDescent="0.25">
      <c r="B17" s="27"/>
      <c r="C17" s="27"/>
      <c r="D17" s="81">
        <v>8</v>
      </c>
      <c r="E17" s="81">
        <f t="shared" si="2"/>
        <v>3956138.1376082068</v>
      </c>
      <c r="F17" s="81">
        <f t="shared" si="3"/>
        <v>23736828.825649239</v>
      </c>
      <c r="G17" s="97">
        <f t="shared" si="1"/>
        <v>3560524.3238473856</v>
      </c>
      <c r="H17" s="27"/>
      <c r="I17" s="96">
        <f t="shared" si="0"/>
        <v>3560524.3238473856</v>
      </c>
    </row>
    <row r="18" spans="2:23" x14ac:dyDescent="0.25">
      <c r="B18" s="27"/>
      <c r="C18" s="27"/>
      <c r="D18" s="81">
        <v>9</v>
      </c>
      <c r="E18" s="81">
        <f t="shared" si="2"/>
        <v>3956138.1376082068</v>
      </c>
      <c r="F18" s="81">
        <f t="shared" si="3"/>
        <v>19780690.688041031</v>
      </c>
      <c r="G18" s="97">
        <f t="shared" si="1"/>
        <v>2967103.6032061544</v>
      </c>
      <c r="H18" s="27"/>
      <c r="I18" s="96">
        <f t="shared" si="0"/>
        <v>2967103.6032061544</v>
      </c>
    </row>
    <row r="19" spans="2:23" x14ac:dyDescent="0.25">
      <c r="B19" s="27"/>
      <c r="C19" s="27"/>
      <c r="D19" s="81">
        <v>10</v>
      </c>
      <c r="E19" s="81">
        <f t="shared" si="2"/>
        <v>3956138.1376082068</v>
      </c>
      <c r="F19" s="81">
        <f t="shared" si="3"/>
        <v>15824552.550432824</v>
      </c>
      <c r="G19" s="97">
        <f t="shared" si="1"/>
        <v>2373682.8825649233</v>
      </c>
      <c r="H19" s="27"/>
      <c r="I19" s="96">
        <f t="shared" si="0"/>
        <v>2373682.8825649233</v>
      </c>
    </row>
    <row r="20" spans="2:23" x14ac:dyDescent="0.25">
      <c r="B20" s="27"/>
      <c r="C20" s="27"/>
      <c r="D20" s="81">
        <v>11</v>
      </c>
      <c r="E20" s="81">
        <f t="shared" si="2"/>
        <v>3956138.1376082068</v>
      </c>
      <c r="F20" s="81">
        <f t="shared" si="3"/>
        <v>11868414.412824616</v>
      </c>
      <c r="G20" s="97">
        <f t="shared" si="1"/>
        <v>1780262.1619236923</v>
      </c>
      <c r="H20" s="27"/>
      <c r="I20" s="96">
        <f t="shared" si="0"/>
        <v>1780262.1619236923</v>
      </c>
    </row>
    <row r="21" spans="2:23" x14ac:dyDescent="0.25">
      <c r="B21" s="27"/>
      <c r="C21" s="27"/>
      <c r="D21" s="81">
        <v>12</v>
      </c>
      <c r="E21" s="81">
        <f t="shared" si="2"/>
        <v>3956138.1376082068</v>
      </c>
      <c r="F21" s="81">
        <f t="shared" si="3"/>
        <v>7912276.275216409</v>
      </c>
      <c r="G21" s="97">
        <f t="shared" si="1"/>
        <v>1186841.4412824614</v>
      </c>
      <c r="H21" s="27"/>
      <c r="I21" s="96">
        <f t="shared" si="0"/>
        <v>1186841.4412824614</v>
      </c>
    </row>
    <row r="22" spans="2:23" x14ac:dyDescent="0.25">
      <c r="B22" s="27"/>
      <c r="C22" s="27"/>
      <c r="D22" s="81">
        <v>13</v>
      </c>
      <c r="E22" s="81">
        <f t="shared" si="2"/>
        <v>3956138.1376082068</v>
      </c>
      <c r="F22" s="81">
        <f t="shared" si="3"/>
        <v>3956138.1376082022</v>
      </c>
      <c r="G22" s="97">
        <f t="shared" si="1"/>
        <v>593420.72064123035</v>
      </c>
      <c r="H22" s="27"/>
      <c r="I22" s="96">
        <f t="shared" si="0"/>
        <v>593420.72064123035</v>
      </c>
    </row>
    <row r="23" spans="2:23" x14ac:dyDescent="0.25">
      <c r="B23" s="27"/>
      <c r="C23" s="27"/>
      <c r="D23" s="27"/>
      <c r="E23" s="27"/>
      <c r="F23" s="27"/>
      <c r="G23" s="27"/>
      <c r="H23" s="27"/>
      <c r="I23" s="27"/>
    </row>
    <row r="24" spans="2:23" x14ac:dyDescent="0.25">
      <c r="B24" s="27"/>
      <c r="C24" s="27"/>
      <c r="D24" s="27"/>
      <c r="E24" s="27">
        <f>SUM(E13:E22)</f>
        <v>39561381.37608207</v>
      </c>
      <c r="F24" s="27"/>
      <c r="G24" s="27"/>
      <c r="H24" s="27"/>
      <c r="I24" s="27"/>
    </row>
    <row r="25" spans="2:23" x14ac:dyDescent="0.25">
      <c r="B25" s="27"/>
      <c r="C25" s="27"/>
      <c r="D25" s="27"/>
      <c r="E25" s="27" t="s">
        <v>26</v>
      </c>
      <c r="F25" s="27"/>
      <c r="G25" s="27"/>
      <c r="H25" s="27"/>
      <c r="I25" s="27"/>
    </row>
    <row r="26" spans="2:23" x14ac:dyDescent="0.25">
      <c r="K26" s="27" t="s">
        <v>110</v>
      </c>
    </row>
    <row r="28" spans="2:23" x14ac:dyDescent="0.25">
      <c r="J28" s="95" t="s">
        <v>109</v>
      </c>
      <c r="K28" s="95">
        <v>1</v>
      </c>
      <c r="L28" s="95">
        <v>2</v>
      </c>
      <c r="M28" s="95">
        <v>3</v>
      </c>
      <c r="N28" s="95">
        <v>4</v>
      </c>
      <c r="O28" s="95">
        <v>5</v>
      </c>
      <c r="P28" s="95">
        <v>6</v>
      </c>
      <c r="Q28" s="95">
        <v>7</v>
      </c>
      <c r="R28" s="95">
        <v>8</v>
      </c>
      <c r="S28" s="95">
        <v>9</v>
      </c>
      <c r="T28" s="95">
        <v>10</v>
      </c>
      <c r="U28" s="95">
        <v>11</v>
      </c>
      <c r="V28" s="95">
        <v>12</v>
      </c>
      <c r="W28" s="95">
        <v>13</v>
      </c>
    </row>
    <row r="29" spans="2:23" x14ac:dyDescent="0.25">
      <c r="J29" s="95" t="s">
        <v>111</v>
      </c>
      <c r="K29" s="98">
        <f>I10</f>
        <v>2251388.3296196428</v>
      </c>
      <c r="L29" s="98">
        <f>I11</f>
        <v>5050330.6759820702</v>
      </c>
      <c r="M29" s="98">
        <f>I12</f>
        <v>5934207.2064123107</v>
      </c>
      <c r="N29" s="98">
        <f>I13</f>
        <v>5934207.2064123107</v>
      </c>
      <c r="O29" s="98">
        <f>I14</f>
        <v>5340786.4857710795</v>
      </c>
      <c r="P29" s="98">
        <f>I15</f>
        <v>4747365.7651298484</v>
      </c>
      <c r="Q29" s="98">
        <f>I16</f>
        <v>4153945.0444886168</v>
      </c>
      <c r="R29" s="98">
        <f>I17</f>
        <v>3560524.3238473856</v>
      </c>
      <c r="S29" s="98">
        <f>I18</f>
        <v>2967103.6032061544</v>
      </c>
      <c r="T29" s="98">
        <f>I19</f>
        <v>2373682.8825649233</v>
      </c>
      <c r="U29" s="98">
        <f>I20</f>
        <v>1780262.1619236923</v>
      </c>
      <c r="V29" s="98">
        <f>I21</f>
        <v>1186841.4412824614</v>
      </c>
      <c r="W29" s="98">
        <f>I22</f>
        <v>593420.72064123035</v>
      </c>
    </row>
  </sheetData>
  <mergeCells count="2">
    <mergeCell ref="I7:K7"/>
    <mergeCell ref="I8:K8"/>
  </mergeCells>
  <phoneticPr fontId="0"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5"/>
  <dimension ref="B2:AA54"/>
  <sheetViews>
    <sheetView topLeftCell="C13" workbookViewId="0">
      <selection activeCell="F30" sqref="F30"/>
    </sheetView>
  </sheetViews>
  <sheetFormatPr defaultRowHeight="13.2" x14ac:dyDescent="0.25"/>
  <cols>
    <col min="1" max="1" width="1.6640625" customWidth="1"/>
    <col min="2" max="2" width="40.6640625" customWidth="1"/>
    <col min="3" max="5" width="23.6640625" customWidth="1"/>
    <col min="6" max="6" width="15.44140625" customWidth="1"/>
    <col min="7" max="16" width="15.44140625" bestFit="1" customWidth="1"/>
    <col min="17" max="17" width="14.44140625" customWidth="1"/>
    <col min="18" max="18" width="14.88671875" bestFit="1" customWidth="1"/>
    <col min="19" max="19" width="14.44140625" customWidth="1"/>
    <col min="20" max="20" width="14.88671875" bestFit="1" customWidth="1"/>
    <col min="21" max="22" width="15.33203125" customWidth="1"/>
    <col min="23" max="23" width="15.44140625" customWidth="1"/>
    <col min="24" max="24" width="14.88671875" bestFit="1" customWidth="1"/>
    <col min="25" max="25" width="14.44140625" customWidth="1"/>
    <col min="26" max="27" width="14.5546875" customWidth="1"/>
  </cols>
  <sheetData>
    <row r="2" spans="2:27" x14ac:dyDescent="0.25">
      <c r="F2" t="s">
        <v>22</v>
      </c>
    </row>
    <row r="4" spans="2:27" ht="12.75" customHeight="1" x14ac:dyDescent="0.25">
      <c r="C4" s="168" t="s">
        <v>108</v>
      </c>
      <c r="D4" s="168" t="s">
        <v>112</v>
      </c>
      <c r="E4" s="168" t="s">
        <v>113</v>
      </c>
      <c r="F4" s="35">
        <v>1</v>
      </c>
      <c r="G4" s="35">
        <v>2</v>
      </c>
      <c r="H4" s="35">
        <v>3</v>
      </c>
      <c r="I4" s="35">
        <v>4</v>
      </c>
      <c r="J4" s="35">
        <v>5</v>
      </c>
      <c r="K4" s="35">
        <v>6</v>
      </c>
      <c r="L4" s="35">
        <v>7</v>
      </c>
      <c r="M4" s="35">
        <v>8</v>
      </c>
      <c r="N4" s="35">
        <v>9</v>
      </c>
      <c r="O4" s="35">
        <v>10</v>
      </c>
      <c r="P4" s="35">
        <v>11</v>
      </c>
      <c r="Q4" s="35">
        <v>12</v>
      </c>
      <c r="R4" s="35">
        <v>13</v>
      </c>
      <c r="S4" s="35">
        <v>14</v>
      </c>
      <c r="T4" s="35">
        <v>15</v>
      </c>
      <c r="U4" s="35">
        <v>16</v>
      </c>
      <c r="V4" s="35">
        <v>17</v>
      </c>
      <c r="W4" s="35">
        <v>18</v>
      </c>
      <c r="X4" s="35">
        <v>19</v>
      </c>
      <c r="Y4" s="35">
        <v>20</v>
      </c>
      <c r="Z4" s="35">
        <v>21</v>
      </c>
      <c r="AA4" s="35">
        <v>22</v>
      </c>
    </row>
    <row r="5" spans="2:27" ht="42" customHeight="1" x14ac:dyDescent="0.25">
      <c r="C5" s="169"/>
      <c r="D5" s="169"/>
      <c r="E5" s="169"/>
      <c r="F5" s="36">
        <v>2025</v>
      </c>
      <c r="G5" s="36">
        <v>2026</v>
      </c>
      <c r="H5" s="36">
        <v>2027</v>
      </c>
      <c r="I5" s="36">
        <f>H5+1</f>
        <v>2028</v>
      </c>
      <c r="J5" s="36">
        <f t="shared" ref="J5:AA5" si="0">I5+1</f>
        <v>2029</v>
      </c>
      <c r="K5" s="36">
        <f t="shared" si="0"/>
        <v>2030</v>
      </c>
      <c r="L5" s="36">
        <f t="shared" si="0"/>
        <v>2031</v>
      </c>
      <c r="M5" s="36">
        <f t="shared" si="0"/>
        <v>2032</v>
      </c>
      <c r="N5" s="36">
        <f t="shared" si="0"/>
        <v>2033</v>
      </c>
      <c r="O5" s="36">
        <f t="shared" si="0"/>
        <v>2034</v>
      </c>
      <c r="P5" s="36">
        <f t="shared" si="0"/>
        <v>2035</v>
      </c>
      <c r="Q5" s="36">
        <f t="shared" si="0"/>
        <v>2036</v>
      </c>
      <c r="R5" s="36">
        <f t="shared" si="0"/>
        <v>2037</v>
      </c>
      <c r="S5" s="36">
        <f t="shared" si="0"/>
        <v>2038</v>
      </c>
      <c r="T5" s="36">
        <f t="shared" si="0"/>
        <v>2039</v>
      </c>
      <c r="U5" s="36">
        <f t="shared" si="0"/>
        <v>2040</v>
      </c>
      <c r="V5" s="36">
        <f t="shared" si="0"/>
        <v>2041</v>
      </c>
      <c r="W5" s="36">
        <f t="shared" si="0"/>
        <v>2042</v>
      </c>
      <c r="X5" s="36">
        <f t="shared" si="0"/>
        <v>2043</v>
      </c>
      <c r="Y5" s="36">
        <f t="shared" si="0"/>
        <v>2044</v>
      </c>
      <c r="Z5" s="36">
        <f t="shared" si="0"/>
        <v>2045</v>
      </c>
      <c r="AA5" s="36">
        <f t="shared" si="0"/>
        <v>2046</v>
      </c>
    </row>
    <row r="6" spans="2:27" x14ac:dyDescent="0.25">
      <c r="B6" s="16" t="s">
        <v>31</v>
      </c>
      <c r="C6" s="17">
        <f>Finansowanie!L8</f>
        <v>15009255.530797619</v>
      </c>
      <c r="D6" s="17">
        <f>Finansowanie!M8</f>
        <v>18659615.642416183</v>
      </c>
      <c r="E6" s="18">
        <f>$C$35*$B$35*E7+Finansowanie!N8</f>
        <v>13065701.02657675</v>
      </c>
      <c r="F6" s="18">
        <f t="shared" ref="F6:Z6" si="1">$C$35*$B$35*F7</f>
        <v>11955318.039514137</v>
      </c>
      <c r="G6" s="18">
        <f t="shared" si="1"/>
        <v>14346381.647416962</v>
      </c>
      <c r="H6" s="18">
        <f t="shared" si="1"/>
        <v>16737445.255319789</v>
      </c>
      <c r="I6" s="18">
        <f t="shared" si="1"/>
        <v>19128508.863222621</v>
      </c>
      <c r="J6" s="18">
        <f t="shared" si="1"/>
        <v>21519572.471125446</v>
      </c>
      <c r="K6" s="18">
        <f t="shared" si="1"/>
        <v>23910636.079028275</v>
      </c>
      <c r="L6" s="18">
        <f t="shared" si="1"/>
        <v>23910636.079028275</v>
      </c>
      <c r="M6" s="18">
        <f t="shared" si="1"/>
        <v>23910636.079028275</v>
      </c>
      <c r="N6" s="18">
        <f t="shared" si="1"/>
        <v>23910636.079028275</v>
      </c>
      <c r="O6" s="18">
        <f t="shared" si="1"/>
        <v>23910636.079028275</v>
      </c>
      <c r="P6" s="18">
        <f t="shared" si="1"/>
        <v>23910636.079028275</v>
      </c>
      <c r="Q6" s="18">
        <f t="shared" si="1"/>
        <v>23910636.079028275</v>
      </c>
      <c r="R6" s="18">
        <f t="shared" si="1"/>
        <v>23910636.079028275</v>
      </c>
      <c r="S6" s="18">
        <f t="shared" si="1"/>
        <v>23910636.079028275</v>
      </c>
      <c r="T6" s="18">
        <f t="shared" si="1"/>
        <v>23910636.079028275</v>
      </c>
      <c r="U6" s="18">
        <f t="shared" si="1"/>
        <v>23910636.079028275</v>
      </c>
      <c r="V6" s="18">
        <f t="shared" si="1"/>
        <v>23910636.079028275</v>
      </c>
      <c r="W6" s="18">
        <f t="shared" si="1"/>
        <v>23910636.079028275</v>
      </c>
      <c r="X6" s="18">
        <f t="shared" si="1"/>
        <v>23910636.079028275</v>
      </c>
      <c r="Y6" s="18">
        <f t="shared" si="1"/>
        <v>23910636.079028275</v>
      </c>
      <c r="Z6" s="18">
        <f t="shared" si="1"/>
        <v>23910636.079028275</v>
      </c>
      <c r="AA6" s="18">
        <f>$C$35*$B$35*AA7+C9+0.4*B37</f>
        <v>55250105.943206474</v>
      </c>
    </row>
    <row r="7" spans="2:27" x14ac:dyDescent="0.25">
      <c r="B7" s="16" t="s">
        <v>16</v>
      </c>
      <c r="C7" s="17">
        <v>0</v>
      </c>
      <c r="D7" s="17">
        <v>0</v>
      </c>
      <c r="E7" s="18">
        <f>'Osiąganie zdolności użytkowej'!L12</f>
        <v>0.25215861129787909</v>
      </c>
      <c r="F7" s="18">
        <f>'Osiąganie zdolności użytkowej'!M12</f>
        <v>0.42026435216313185</v>
      </c>
      <c r="G7" s="18">
        <f>'Osiąganie zdolności użytkowej'!N12</f>
        <v>0.50431722259575817</v>
      </c>
      <c r="H7" s="18">
        <f>'Osiąganie zdolności użytkowej'!O12</f>
        <v>0.5883700930283845</v>
      </c>
      <c r="I7" s="18">
        <f>'Osiąganie zdolności użytkowej'!P12</f>
        <v>0.67242296346101105</v>
      </c>
      <c r="J7" s="18">
        <f>'Osiąganie zdolności użytkowej'!Q12</f>
        <v>0.75647583389363737</v>
      </c>
      <c r="K7" s="18">
        <f>'Osiąganie zdolności użytkowej'!R12</f>
        <v>0.8405287043262637</v>
      </c>
      <c r="L7" s="18">
        <f>'Osiąganie zdolności użytkowej'!S12</f>
        <v>0.8405287043262637</v>
      </c>
      <c r="M7" s="18">
        <f>'Osiąganie zdolności użytkowej'!T12</f>
        <v>0.8405287043262637</v>
      </c>
      <c r="N7" s="18">
        <f>'Osiąganie zdolności użytkowej'!U12</f>
        <v>0.8405287043262637</v>
      </c>
      <c r="O7" s="18">
        <f>'Osiąganie zdolności użytkowej'!V12</f>
        <v>0.8405287043262637</v>
      </c>
      <c r="P7" s="18">
        <f>'Osiąganie zdolności użytkowej'!W12</f>
        <v>0.8405287043262637</v>
      </c>
      <c r="Q7" s="18">
        <f>'Osiąganie zdolności użytkowej'!X12</f>
        <v>0.8405287043262637</v>
      </c>
      <c r="R7" s="18">
        <f>'Osiąganie zdolności użytkowej'!Y12</f>
        <v>0.8405287043262637</v>
      </c>
      <c r="S7" s="18">
        <f>'Osiąganie zdolności użytkowej'!Z12</f>
        <v>0.8405287043262637</v>
      </c>
      <c r="T7" s="18">
        <f>'Osiąganie zdolności użytkowej'!AA12</f>
        <v>0.8405287043262637</v>
      </c>
      <c r="U7" s="18">
        <f>'Osiąganie zdolności użytkowej'!AB12</f>
        <v>0.8405287043262637</v>
      </c>
      <c r="V7" s="18">
        <f>'Osiąganie zdolności użytkowej'!AC12</f>
        <v>0.8405287043262637</v>
      </c>
      <c r="W7" s="18">
        <f>'Osiąganie zdolności użytkowej'!AD12</f>
        <v>0.8405287043262637</v>
      </c>
      <c r="X7" s="18">
        <f>'Osiąganie zdolności użytkowej'!AE12</f>
        <v>0.8405287043262637</v>
      </c>
      <c r="Y7" s="18">
        <f>'Osiąganie zdolności użytkowej'!AF12</f>
        <v>0.8405287043262637</v>
      </c>
      <c r="Z7" s="18">
        <f>'Osiąganie zdolności użytkowej'!AG12</f>
        <v>0.8405287043262637</v>
      </c>
      <c r="AA7" s="18">
        <f>'Osiąganie zdolności użytkowej'!AH12</f>
        <v>0.8405287043262637</v>
      </c>
    </row>
    <row r="8" spans="2:27" x14ac:dyDescent="0.25">
      <c r="B8" s="1" t="s">
        <v>15</v>
      </c>
      <c r="C8" s="19">
        <v>26500000</v>
      </c>
      <c r="D8" s="2">
        <f>C41*B49</f>
        <v>32944992.741938565</v>
      </c>
      <c r="E8" s="2">
        <f>C42*B49</f>
        <v>10403681.918506915</v>
      </c>
      <c r="F8" s="2">
        <v>0</v>
      </c>
      <c r="G8" s="2">
        <v>0</v>
      </c>
      <c r="H8" s="2">
        <v>0</v>
      </c>
      <c r="I8" s="2">
        <v>0</v>
      </c>
      <c r="J8" s="2">
        <v>0</v>
      </c>
      <c r="K8" s="2">
        <v>0</v>
      </c>
      <c r="L8" s="2">
        <v>0</v>
      </c>
      <c r="M8" s="2">
        <v>0</v>
      </c>
      <c r="N8" s="2">
        <v>0</v>
      </c>
      <c r="O8" s="2">
        <v>0</v>
      </c>
      <c r="P8" s="2">
        <v>0</v>
      </c>
      <c r="Q8" s="2">
        <v>0</v>
      </c>
      <c r="R8" s="2">
        <v>0</v>
      </c>
      <c r="S8" s="2">
        <v>0</v>
      </c>
      <c r="T8" s="2">
        <v>0</v>
      </c>
      <c r="U8" s="2">
        <v>0</v>
      </c>
      <c r="V8" s="2">
        <v>0</v>
      </c>
      <c r="W8" s="2">
        <v>0</v>
      </c>
      <c r="X8" s="2">
        <v>0</v>
      </c>
      <c r="Y8" s="2">
        <v>0</v>
      </c>
      <c r="Z8" s="2">
        <v>0</v>
      </c>
      <c r="AA8" s="2">
        <v>0</v>
      </c>
    </row>
    <row r="9" spans="2:27" x14ac:dyDescent="0.25">
      <c r="B9" s="1" t="s">
        <v>10</v>
      </c>
      <c r="C9" s="19">
        <v>3400000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row>
    <row r="10" spans="2:27" x14ac:dyDescent="0.25">
      <c r="B10" s="1" t="s">
        <v>11</v>
      </c>
      <c r="C10" s="19">
        <f>Finansowanie!C2*Finansowanie!K5</f>
        <v>84044.108486201498</v>
      </c>
      <c r="D10" s="2">
        <v>0</v>
      </c>
      <c r="E10" s="2">
        <v>0</v>
      </c>
      <c r="F10" s="2">
        <v>0</v>
      </c>
      <c r="G10" s="2">
        <v>0</v>
      </c>
      <c r="H10" s="2">
        <v>0</v>
      </c>
      <c r="I10" s="2">
        <v>0</v>
      </c>
      <c r="J10" s="2">
        <v>0</v>
      </c>
      <c r="K10" s="2">
        <v>0</v>
      </c>
      <c r="L10" s="2">
        <v>0</v>
      </c>
      <c r="M10" s="2">
        <v>0</v>
      </c>
      <c r="N10" s="2">
        <v>0</v>
      </c>
      <c r="O10" s="2">
        <v>0</v>
      </c>
      <c r="P10" s="2">
        <v>0</v>
      </c>
      <c r="Q10" s="2">
        <v>0</v>
      </c>
      <c r="R10" s="2">
        <v>0</v>
      </c>
      <c r="S10" s="2">
        <v>0</v>
      </c>
      <c r="T10" s="2">
        <v>0</v>
      </c>
      <c r="U10" s="2">
        <v>0</v>
      </c>
      <c r="V10" s="2">
        <v>0</v>
      </c>
      <c r="W10" s="2">
        <v>0</v>
      </c>
      <c r="X10" s="2">
        <v>0</v>
      </c>
      <c r="Y10" s="2">
        <v>0</v>
      </c>
      <c r="Z10" s="2">
        <v>0</v>
      </c>
      <c r="AA10" s="2">
        <v>0</v>
      </c>
    </row>
    <row r="11" spans="2:27" x14ac:dyDescent="0.25">
      <c r="B11" s="14" t="s">
        <v>0</v>
      </c>
      <c r="C11" s="15">
        <v>0</v>
      </c>
      <c r="D11" s="15">
        <v>0</v>
      </c>
      <c r="E11" s="15">
        <v>0</v>
      </c>
      <c r="F11" s="15">
        <f>0.025*B37</f>
        <v>1746216.8665111372</v>
      </c>
      <c r="G11" s="15">
        <f>F11</f>
        <v>1746216.8665111372</v>
      </c>
      <c r="H11" s="15">
        <f t="shared" ref="H11:AA11" si="2">G11</f>
        <v>1746216.8665111372</v>
      </c>
      <c r="I11" s="15">
        <f t="shared" si="2"/>
        <v>1746216.8665111372</v>
      </c>
      <c r="J11" s="15">
        <f t="shared" si="2"/>
        <v>1746216.8665111372</v>
      </c>
      <c r="K11" s="15">
        <f t="shared" si="2"/>
        <v>1746216.8665111372</v>
      </c>
      <c r="L11" s="15">
        <f t="shared" si="2"/>
        <v>1746216.8665111372</v>
      </c>
      <c r="M11" s="15">
        <f t="shared" si="2"/>
        <v>1746216.8665111372</v>
      </c>
      <c r="N11" s="15">
        <f t="shared" si="2"/>
        <v>1746216.8665111372</v>
      </c>
      <c r="O11" s="15">
        <f t="shared" si="2"/>
        <v>1746216.8665111372</v>
      </c>
      <c r="P11" s="15">
        <f t="shared" si="2"/>
        <v>1746216.8665111372</v>
      </c>
      <c r="Q11" s="15">
        <f t="shared" si="2"/>
        <v>1746216.8665111372</v>
      </c>
      <c r="R11" s="15">
        <f t="shared" si="2"/>
        <v>1746216.8665111372</v>
      </c>
      <c r="S11" s="15">
        <f t="shared" si="2"/>
        <v>1746216.8665111372</v>
      </c>
      <c r="T11" s="15">
        <f t="shared" si="2"/>
        <v>1746216.8665111372</v>
      </c>
      <c r="U11" s="15">
        <f t="shared" si="2"/>
        <v>1746216.8665111372</v>
      </c>
      <c r="V11" s="15">
        <f t="shared" si="2"/>
        <v>1746216.8665111372</v>
      </c>
      <c r="W11" s="15">
        <f t="shared" si="2"/>
        <v>1746216.8665111372</v>
      </c>
      <c r="X11" s="15">
        <f t="shared" si="2"/>
        <v>1746216.8665111372</v>
      </c>
      <c r="Y11" s="15">
        <f t="shared" si="2"/>
        <v>1746216.8665111372</v>
      </c>
      <c r="Z11" s="15">
        <f t="shared" si="2"/>
        <v>1746216.8665111372</v>
      </c>
      <c r="AA11" s="15">
        <f t="shared" si="2"/>
        <v>1746216.8665111372</v>
      </c>
    </row>
    <row r="12" spans="2:27" x14ac:dyDescent="0.25">
      <c r="B12" s="12" t="s">
        <v>27</v>
      </c>
      <c r="C12" s="22">
        <v>0</v>
      </c>
      <c r="D12" s="22">
        <v>0</v>
      </c>
      <c r="E12" s="22">
        <v>0</v>
      </c>
      <c r="F12" s="23">
        <f>Finansowanie!K5</f>
        <v>3956138.1376082068</v>
      </c>
      <c r="G12" s="23">
        <f>F12</f>
        <v>3956138.1376082068</v>
      </c>
      <c r="H12" s="23">
        <f t="shared" ref="H12:O12" si="3">G12</f>
        <v>3956138.1376082068</v>
      </c>
      <c r="I12" s="23">
        <f t="shared" si="3"/>
        <v>3956138.1376082068</v>
      </c>
      <c r="J12" s="23">
        <f t="shared" si="3"/>
        <v>3956138.1376082068</v>
      </c>
      <c r="K12" s="23">
        <f t="shared" si="3"/>
        <v>3956138.1376082068</v>
      </c>
      <c r="L12" s="23">
        <f t="shared" si="3"/>
        <v>3956138.1376082068</v>
      </c>
      <c r="M12" s="23">
        <f t="shared" si="3"/>
        <v>3956138.1376082068</v>
      </c>
      <c r="N12" s="23">
        <f t="shared" si="3"/>
        <v>3956138.1376082068</v>
      </c>
      <c r="O12" s="23">
        <f t="shared" si="3"/>
        <v>3956138.1376082068</v>
      </c>
      <c r="P12" s="13">
        <v>0</v>
      </c>
      <c r="Q12" s="13">
        <v>0</v>
      </c>
      <c r="R12" s="13">
        <v>0</v>
      </c>
      <c r="S12" s="13">
        <v>0</v>
      </c>
      <c r="T12" s="13">
        <v>0</v>
      </c>
      <c r="U12" s="13">
        <v>0</v>
      </c>
      <c r="V12" s="13">
        <v>0</v>
      </c>
      <c r="W12" s="13">
        <v>0</v>
      </c>
      <c r="X12" s="13">
        <v>0</v>
      </c>
      <c r="Y12" s="13">
        <v>0</v>
      </c>
      <c r="Z12" s="13">
        <v>0</v>
      </c>
      <c r="AA12" s="13">
        <v>0</v>
      </c>
    </row>
    <row r="13" spans="2:27" x14ac:dyDescent="0.25">
      <c r="B13" s="12" t="s">
        <v>1</v>
      </c>
      <c r="C13" s="23">
        <f>Finansowanie!K29</f>
        <v>2251388.3296196428</v>
      </c>
      <c r="D13" s="23">
        <f>Finansowanie!L29</f>
        <v>5050330.6759820702</v>
      </c>
      <c r="E13" s="23">
        <f>Finansowanie!M29</f>
        <v>5934207.2064123107</v>
      </c>
      <c r="F13" s="23">
        <f>Finansowanie!N29</f>
        <v>5934207.2064123107</v>
      </c>
      <c r="G13" s="23">
        <f>Finansowanie!O29</f>
        <v>5340786.4857710795</v>
      </c>
      <c r="H13" s="23">
        <f>Finansowanie!P29</f>
        <v>4747365.7651298484</v>
      </c>
      <c r="I13" s="23">
        <f>Finansowanie!Q29</f>
        <v>4153945.0444886168</v>
      </c>
      <c r="J13" s="23">
        <f>Finansowanie!R29</f>
        <v>3560524.3238473856</v>
      </c>
      <c r="K13" s="23">
        <f>Finansowanie!S29</f>
        <v>2967103.6032061544</v>
      </c>
      <c r="L13" s="23">
        <f>Finansowanie!T29</f>
        <v>2373682.8825649233</v>
      </c>
      <c r="M13" s="23">
        <f>Finansowanie!U29</f>
        <v>1780262.1619236923</v>
      </c>
      <c r="N13" s="23">
        <f>Finansowanie!V29</f>
        <v>1186841.4412824614</v>
      </c>
      <c r="O13" s="23">
        <f>Finansowanie!W29</f>
        <v>593420.72064123035</v>
      </c>
      <c r="P13" s="13">
        <v>0</v>
      </c>
      <c r="Q13" s="13">
        <v>0</v>
      </c>
      <c r="R13" s="13">
        <v>0</v>
      </c>
      <c r="S13" s="13">
        <v>0</v>
      </c>
      <c r="T13" s="13">
        <v>0</v>
      </c>
      <c r="U13" s="13">
        <v>0</v>
      </c>
      <c r="V13" s="13">
        <v>0</v>
      </c>
      <c r="W13" s="13">
        <v>0</v>
      </c>
      <c r="X13" s="13">
        <v>0</v>
      </c>
      <c r="Y13" s="13">
        <v>0</v>
      </c>
      <c r="Z13" s="13">
        <v>0</v>
      </c>
      <c r="AA13" s="13">
        <v>0</v>
      </c>
    </row>
    <row r="14" spans="2:27" x14ac:dyDescent="0.25">
      <c r="B14" s="8" t="s">
        <v>2</v>
      </c>
      <c r="C14" s="9">
        <v>0</v>
      </c>
      <c r="D14" s="9">
        <v>0</v>
      </c>
      <c r="E14" s="9">
        <v>0</v>
      </c>
      <c r="F14" s="9">
        <v>87523</v>
      </c>
      <c r="G14" s="9">
        <f>F14*102%</f>
        <v>89273.46</v>
      </c>
      <c r="H14" s="9">
        <f>G14*102%</f>
        <v>91058.929200000013</v>
      </c>
      <c r="I14" s="9">
        <f t="shared" ref="I14:AA14" si="4">H14*102%</f>
        <v>92880.107784000022</v>
      </c>
      <c r="J14" s="9">
        <f t="shared" si="4"/>
        <v>94737.709939680019</v>
      </c>
      <c r="K14" s="9">
        <f t="shared" si="4"/>
        <v>96632.464138473617</v>
      </c>
      <c r="L14" s="9">
        <f t="shared" si="4"/>
        <v>98565.113421243092</v>
      </c>
      <c r="M14" s="9">
        <f t="shared" si="4"/>
        <v>100536.41568966795</v>
      </c>
      <c r="N14" s="9">
        <f t="shared" si="4"/>
        <v>102547.1440034613</v>
      </c>
      <c r="O14" s="9">
        <f t="shared" si="4"/>
        <v>104598.08688353053</v>
      </c>
      <c r="P14" s="9">
        <f t="shared" si="4"/>
        <v>106690.04862120115</v>
      </c>
      <c r="Q14" s="9">
        <f t="shared" si="4"/>
        <v>108823.84959362517</v>
      </c>
      <c r="R14" s="9">
        <f t="shared" si="4"/>
        <v>111000.32658549768</v>
      </c>
      <c r="S14" s="9">
        <f t="shared" si="4"/>
        <v>113220.33311720763</v>
      </c>
      <c r="T14" s="9">
        <f t="shared" si="4"/>
        <v>115484.73977955179</v>
      </c>
      <c r="U14" s="9">
        <f t="shared" si="4"/>
        <v>117794.43457514283</v>
      </c>
      <c r="V14" s="9">
        <f t="shared" si="4"/>
        <v>120150.32326664569</v>
      </c>
      <c r="W14" s="9">
        <f t="shared" si="4"/>
        <v>122553.32973197861</v>
      </c>
      <c r="X14" s="9">
        <f t="shared" si="4"/>
        <v>125004.39632661818</v>
      </c>
      <c r="Y14" s="9">
        <f t="shared" si="4"/>
        <v>127504.48425315054</v>
      </c>
      <c r="Z14" s="9">
        <f t="shared" si="4"/>
        <v>130054.57393821355</v>
      </c>
      <c r="AA14" s="9">
        <f t="shared" si="4"/>
        <v>132655.66541697783</v>
      </c>
    </row>
    <row r="15" spans="2:27" x14ac:dyDescent="0.25">
      <c r="B15" s="10" t="s">
        <v>3</v>
      </c>
      <c r="C15" s="9">
        <v>0</v>
      </c>
      <c r="D15" s="9">
        <v>0</v>
      </c>
      <c r="E15" s="9">
        <v>0</v>
      </c>
      <c r="F15" s="9">
        <v>23997</v>
      </c>
      <c r="G15" s="9">
        <v>14149.44</v>
      </c>
      <c r="H15" s="9">
        <v>14432.43</v>
      </c>
      <c r="I15" s="9">
        <v>14721.08</v>
      </c>
      <c r="J15" s="9">
        <v>15015.5</v>
      </c>
      <c r="K15" s="9">
        <v>15315.81</v>
      </c>
      <c r="L15" s="9">
        <v>15622.13</v>
      </c>
      <c r="M15" s="9">
        <v>15934.57</v>
      </c>
      <c r="N15" s="9">
        <v>16253.26</v>
      </c>
      <c r="O15" s="9">
        <v>16578.32</v>
      </c>
      <c r="P15" s="11">
        <v>16909.89</v>
      </c>
      <c r="Q15" s="11">
        <v>17839.93</v>
      </c>
      <c r="R15" s="11">
        <v>18821.13</v>
      </c>
      <c r="S15" s="11">
        <v>19856.29</v>
      </c>
      <c r="T15" s="11">
        <v>20948.39</v>
      </c>
      <c r="U15" s="11">
        <v>22100.55</v>
      </c>
      <c r="V15" s="11">
        <v>23316.080000000002</v>
      </c>
      <c r="W15" s="11">
        <v>24598.47</v>
      </c>
      <c r="X15" s="11">
        <v>25951.38</v>
      </c>
      <c r="Y15" s="11">
        <v>27378.71</v>
      </c>
      <c r="Z15" s="11">
        <v>28884.54</v>
      </c>
      <c r="AA15" s="11">
        <v>30473.19</v>
      </c>
    </row>
    <row r="16" spans="2:27" hidden="1" x14ac:dyDescent="0.25">
      <c r="B16" s="10" t="s">
        <v>4</v>
      </c>
      <c r="C16" s="9"/>
      <c r="D16" s="9"/>
      <c r="E16" s="9"/>
      <c r="F16" s="9"/>
      <c r="G16" s="9"/>
      <c r="H16" s="9"/>
      <c r="I16" s="9"/>
      <c r="J16" s="9"/>
      <c r="K16" s="9"/>
      <c r="L16" s="9"/>
      <c r="M16" s="9"/>
      <c r="N16" s="9"/>
      <c r="O16" s="9"/>
      <c r="P16" s="9"/>
      <c r="Q16" s="9"/>
      <c r="R16" s="11"/>
      <c r="S16" s="11"/>
      <c r="T16" s="11"/>
      <c r="U16" s="11"/>
      <c r="V16" s="11"/>
      <c r="W16" s="11"/>
      <c r="X16" s="11"/>
      <c r="Y16" s="11"/>
      <c r="Z16" s="11"/>
      <c r="AA16" s="11"/>
    </row>
    <row r="17" spans="2:27" x14ac:dyDescent="0.25">
      <c r="B17" s="10" t="s">
        <v>5</v>
      </c>
      <c r="C17" s="9">
        <v>0</v>
      </c>
      <c r="D17" s="9">
        <v>0</v>
      </c>
      <c r="E17" s="9">
        <f t="shared" ref="E17:AA17" si="5">20*$B$35*E7</f>
        <v>41238.019291655146</v>
      </c>
      <c r="F17" s="9">
        <f t="shared" si="5"/>
        <v>68730.032152758577</v>
      </c>
      <c r="G17" s="9">
        <f t="shared" si="5"/>
        <v>82476.038583310292</v>
      </c>
      <c r="H17" s="9">
        <f t="shared" si="5"/>
        <v>96222.045013862007</v>
      </c>
      <c r="I17" s="9">
        <f t="shared" si="5"/>
        <v>109968.05144441375</v>
      </c>
      <c r="J17" s="9">
        <f t="shared" si="5"/>
        <v>123714.05787496545</v>
      </c>
      <c r="K17" s="9">
        <f t="shared" si="5"/>
        <v>137460.06430551715</v>
      </c>
      <c r="L17" s="9">
        <f t="shared" si="5"/>
        <v>137460.06430551715</v>
      </c>
      <c r="M17" s="9">
        <f t="shared" si="5"/>
        <v>137460.06430551715</v>
      </c>
      <c r="N17" s="9">
        <f t="shared" si="5"/>
        <v>137460.06430551715</v>
      </c>
      <c r="O17" s="9">
        <f t="shared" si="5"/>
        <v>137460.06430551715</v>
      </c>
      <c r="P17" s="9">
        <f t="shared" si="5"/>
        <v>137460.06430551715</v>
      </c>
      <c r="Q17" s="9">
        <f t="shared" si="5"/>
        <v>137460.06430551715</v>
      </c>
      <c r="R17" s="9">
        <f t="shared" si="5"/>
        <v>137460.06430551715</v>
      </c>
      <c r="S17" s="9">
        <f t="shared" si="5"/>
        <v>137460.06430551715</v>
      </c>
      <c r="T17" s="9">
        <f t="shared" si="5"/>
        <v>137460.06430551715</v>
      </c>
      <c r="U17" s="9">
        <f t="shared" si="5"/>
        <v>137460.06430551715</v>
      </c>
      <c r="V17" s="9">
        <f t="shared" si="5"/>
        <v>137460.06430551715</v>
      </c>
      <c r="W17" s="9">
        <f t="shared" si="5"/>
        <v>137460.06430551715</v>
      </c>
      <c r="X17" s="9">
        <f t="shared" si="5"/>
        <v>137460.06430551715</v>
      </c>
      <c r="Y17" s="9">
        <f t="shared" si="5"/>
        <v>137460.06430551715</v>
      </c>
      <c r="Z17" s="9">
        <f t="shared" si="5"/>
        <v>137460.06430551715</v>
      </c>
      <c r="AA17" s="9">
        <f t="shared" si="5"/>
        <v>137460.06430551715</v>
      </c>
    </row>
    <row r="18" spans="2:27" x14ac:dyDescent="0.25">
      <c r="B18" s="10" t="s">
        <v>6</v>
      </c>
      <c r="C18" s="9">
        <v>67000</v>
      </c>
      <c r="D18" s="9">
        <f t="shared" ref="D18:E22" si="6">C18*102%</f>
        <v>68340</v>
      </c>
      <c r="E18" s="9">
        <f t="shared" si="6"/>
        <v>69706.8</v>
      </c>
      <c r="F18" s="9">
        <f>7*12*1500</f>
        <v>126000</v>
      </c>
      <c r="G18" s="9">
        <f t="shared" ref="G18:AA22" si="7">F18*102%</f>
        <v>128520</v>
      </c>
      <c r="H18" s="9">
        <f t="shared" si="7"/>
        <v>131090.4</v>
      </c>
      <c r="I18" s="9">
        <f t="shared" si="7"/>
        <v>133712.20799999998</v>
      </c>
      <c r="J18" s="9">
        <f t="shared" si="7"/>
        <v>136386.45215999999</v>
      </c>
      <c r="K18" s="9">
        <f t="shared" si="7"/>
        <v>139114.18120319999</v>
      </c>
      <c r="L18" s="9">
        <f t="shared" si="7"/>
        <v>141896.46482726399</v>
      </c>
      <c r="M18" s="9">
        <f t="shared" si="7"/>
        <v>144734.39412380927</v>
      </c>
      <c r="N18" s="9">
        <f t="shared" si="7"/>
        <v>147629.08200628546</v>
      </c>
      <c r="O18" s="9">
        <f t="shared" si="7"/>
        <v>150581.66364641118</v>
      </c>
      <c r="P18" s="9">
        <f t="shared" si="7"/>
        <v>153593.29691933939</v>
      </c>
      <c r="Q18" s="9">
        <f t="shared" si="7"/>
        <v>156665.16285772619</v>
      </c>
      <c r="R18" s="9">
        <f t="shared" si="7"/>
        <v>159798.46611488072</v>
      </c>
      <c r="S18" s="9">
        <f t="shared" si="7"/>
        <v>162994.43543717833</v>
      </c>
      <c r="T18" s="9">
        <f t="shared" si="7"/>
        <v>166254.32414592188</v>
      </c>
      <c r="U18" s="9">
        <f t="shared" si="7"/>
        <v>169579.41062884033</v>
      </c>
      <c r="V18" s="9">
        <f t="shared" si="7"/>
        <v>172970.99884141714</v>
      </c>
      <c r="W18" s="9">
        <f t="shared" si="7"/>
        <v>176430.4188182455</v>
      </c>
      <c r="X18" s="9">
        <f t="shared" si="7"/>
        <v>179959.02719461042</v>
      </c>
      <c r="Y18" s="9">
        <f t="shared" si="7"/>
        <v>183558.20773850262</v>
      </c>
      <c r="Z18" s="9">
        <f t="shared" si="7"/>
        <v>187229.37189327268</v>
      </c>
      <c r="AA18" s="9">
        <f t="shared" si="7"/>
        <v>190973.95933113815</v>
      </c>
    </row>
    <row r="19" spans="2:27" hidden="1" x14ac:dyDescent="0.25">
      <c r="B19" s="10"/>
      <c r="C19" s="9"/>
      <c r="D19" s="9"/>
      <c r="E19" s="9"/>
      <c r="F19" s="9"/>
      <c r="G19" s="9"/>
      <c r="H19" s="9"/>
      <c r="I19" s="9"/>
      <c r="J19" s="9"/>
      <c r="K19" s="9"/>
      <c r="L19" s="9"/>
      <c r="M19" s="9"/>
      <c r="N19" s="9"/>
      <c r="O19" s="9"/>
      <c r="P19" s="9"/>
      <c r="Q19" s="9"/>
      <c r="R19" s="9"/>
      <c r="S19" s="9"/>
      <c r="T19" s="9"/>
      <c r="U19" s="9"/>
      <c r="V19" s="9"/>
      <c r="W19" s="9"/>
      <c r="X19" s="9"/>
      <c r="Y19" s="9"/>
      <c r="Z19" s="9"/>
      <c r="AA19" s="9"/>
    </row>
    <row r="20" spans="2:27" x14ac:dyDescent="0.25">
      <c r="B20" s="10" t="s">
        <v>7</v>
      </c>
      <c r="C20" s="9">
        <v>800</v>
      </c>
      <c r="D20" s="9">
        <f t="shared" si="6"/>
        <v>816</v>
      </c>
      <c r="E20" s="9">
        <f t="shared" si="6"/>
        <v>832.32</v>
      </c>
      <c r="F20" s="9">
        <f>10*12</f>
        <v>120</v>
      </c>
      <c r="G20" s="9">
        <f t="shared" si="7"/>
        <v>122.4</v>
      </c>
      <c r="H20" s="9">
        <f t="shared" si="7"/>
        <v>124.84800000000001</v>
      </c>
      <c r="I20" s="9">
        <f t="shared" si="7"/>
        <v>127.34496000000001</v>
      </c>
      <c r="J20" s="9">
        <f t="shared" si="7"/>
        <v>129.89185920000003</v>
      </c>
      <c r="K20" s="9">
        <f t="shared" si="7"/>
        <v>132.48969638400004</v>
      </c>
      <c r="L20" s="9">
        <f t="shared" si="7"/>
        <v>135.13949031168005</v>
      </c>
      <c r="M20" s="9">
        <f t="shared" si="7"/>
        <v>137.84228011791365</v>
      </c>
      <c r="N20" s="9">
        <f t="shared" si="7"/>
        <v>140.59912572027193</v>
      </c>
      <c r="O20" s="9">
        <f t="shared" si="7"/>
        <v>143.41110823467736</v>
      </c>
      <c r="P20" s="9">
        <f t="shared" si="7"/>
        <v>146.27933039937091</v>
      </c>
      <c r="Q20" s="9">
        <f t="shared" si="7"/>
        <v>149.20491700735832</v>
      </c>
      <c r="R20" s="9">
        <f t="shared" si="7"/>
        <v>152.18901534750549</v>
      </c>
      <c r="S20" s="9">
        <f t="shared" si="7"/>
        <v>155.2327956544556</v>
      </c>
      <c r="T20" s="9">
        <f t="shared" si="7"/>
        <v>158.33745156754472</v>
      </c>
      <c r="U20" s="9">
        <f t="shared" si="7"/>
        <v>161.50420059889561</v>
      </c>
      <c r="V20" s="9">
        <f t="shared" si="7"/>
        <v>164.73428461087352</v>
      </c>
      <c r="W20" s="9">
        <f t="shared" si="7"/>
        <v>168.028970303091</v>
      </c>
      <c r="X20" s="9">
        <f t="shared" si="7"/>
        <v>171.38954970915282</v>
      </c>
      <c r="Y20" s="9">
        <f t="shared" si="7"/>
        <v>174.81734070333587</v>
      </c>
      <c r="Z20" s="9">
        <f t="shared" si="7"/>
        <v>178.3136875174026</v>
      </c>
      <c r="AA20" s="9">
        <f t="shared" si="7"/>
        <v>181.87996126775064</v>
      </c>
    </row>
    <row r="21" spans="2:27" x14ac:dyDescent="0.25">
      <c r="B21" s="10" t="s">
        <v>8</v>
      </c>
      <c r="C21" s="9">
        <v>6000</v>
      </c>
      <c r="D21" s="9">
        <f t="shared" si="6"/>
        <v>6120</v>
      </c>
      <c r="E21" s="9">
        <f t="shared" si="6"/>
        <v>6242.4000000000005</v>
      </c>
      <c r="F21" s="9">
        <f>30*12</f>
        <v>360</v>
      </c>
      <c r="G21" s="9">
        <f t="shared" si="7"/>
        <v>367.2</v>
      </c>
      <c r="H21" s="9">
        <f t="shared" si="7"/>
        <v>374.54399999999998</v>
      </c>
      <c r="I21" s="9">
        <f t="shared" si="7"/>
        <v>382.03487999999999</v>
      </c>
      <c r="J21" s="9">
        <f t="shared" si="7"/>
        <v>389.6755776</v>
      </c>
      <c r="K21" s="9">
        <f t="shared" si="7"/>
        <v>397.46908915199998</v>
      </c>
      <c r="L21" s="9">
        <f t="shared" si="7"/>
        <v>405.41847093503998</v>
      </c>
      <c r="M21" s="9">
        <f t="shared" si="7"/>
        <v>413.52684035374079</v>
      </c>
      <c r="N21" s="9">
        <f t="shared" si="7"/>
        <v>421.79737716081564</v>
      </c>
      <c r="O21" s="9">
        <f t="shared" si="7"/>
        <v>430.23332470403199</v>
      </c>
      <c r="P21" s="9">
        <f t="shared" si="7"/>
        <v>438.83799119811266</v>
      </c>
      <c r="Q21" s="9">
        <f t="shared" si="7"/>
        <v>447.61475102207493</v>
      </c>
      <c r="R21" s="9">
        <f t="shared" si="7"/>
        <v>456.56704604251644</v>
      </c>
      <c r="S21" s="9">
        <f t="shared" si="7"/>
        <v>465.69838696336677</v>
      </c>
      <c r="T21" s="9">
        <f t="shared" si="7"/>
        <v>475.01235470263413</v>
      </c>
      <c r="U21" s="9">
        <f t="shared" si="7"/>
        <v>484.51260179668679</v>
      </c>
      <c r="V21" s="9">
        <f t="shared" si="7"/>
        <v>494.20285383262052</v>
      </c>
      <c r="W21" s="9">
        <f t="shared" si="7"/>
        <v>504.08691090927294</v>
      </c>
      <c r="X21" s="9">
        <f t="shared" si="7"/>
        <v>514.16864912745837</v>
      </c>
      <c r="Y21" s="9">
        <f t="shared" si="7"/>
        <v>524.45202211000753</v>
      </c>
      <c r="Z21" s="9">
        <f t="shared" si="7"/>
        <v>534.94106255220765</v>
      </c>
      <c r="AA21" s="9">
        <f t="shared" si="7"/>
        <v>545.63988380325179</v>
      </c>
    </row>
    <row r="22" spans="2:27" x14ac:dyDescent="0.25">
      <c r="B22" s="10" t="s">
        <v>9</v>
      </c>
      <c r="C22" s="9">
        <v>4000</v>
      </c>
      <c r="D22" s="9">
        <f t="shared" si="6"/>
        <v>4080</v>
      </c>
      <c r="E22" s="9">
        <f t="shared" si="6"/>
        <v>4161.6000000000004</v>
      </c>
      <c r="F22" s="9">
        <f>12*1000</f>
        <v>12000</v>
      </c>
      <c r="G22" s="9">
        <f t="shared" si="7"/>
        <v>12240</v>
      </c>
      <c r="H22" s="9">
        <f t="shared" si="7"/>
        <v>12484.800000000001</v>
      </c>
      <c r="I22" s="9">
        <f t="shared" si="7"/>
        <v>12734.496000000001</v>
      </c>
      <c r="J22" s="9">
        <f t="shared" si="7"/>
        <v>12989.185920000002</v>
      </c>
      <c r="K22" s="9">
        <f t="shared" si="7"/>
        <v>13248.969638400002</v>
      </c>
      <c r="L22" s="9">
        <f t="shared" si="7"/>
        <v>13513.949031168002</v>
      </c>
      <c r="M22" s="9">
        <f t="shared" si="7"/>
        <v>13784.228011791361</v>
      </c>
      <c r="N22" s="9">
        <f t="shared" si="7"/>
        <v>14059.91257202719</v>
      </c>
      <c r="O22" s="9">
        <f t="shared" si="7"/>
        <v>14341.110823467734</v>
      </c>
      <c r="P22" s="9">
        <f t="shared" si="7"/>
        <v>14627.933039937088</v>
      </c>
      <c r="Q22" s="9">
        <f t="shared" si="7"/>
        <v>14920.491700735831</v>
      </c>
      <c r="R22" s="9">
        <f t="shared" si="7"/>
        <v>15218.901534750548</v>
      </c>
      <c r="S22" s="9">
        <f t="shared" si="7"/>
        <v>15523.27956544556</v>
      </c>
      <c r="T22" s="9">
        <f t="shared" si="7"/>
        <v>15833.745156754472</v>
      </c>
      <c r="U22" s="9">
        <f t="shared" si="7"/>
        <v>16150.420059889562</v>
      </c>
      <c r="V22" s="9">
        <f t="shared" si="7"/>
        <v>16473.428461087355</v>
      </c>
      <c r="W22" s="9">
        <f t="shared" si="7"/>
        <v>16802.897030309101</v>
      </c>
      <c r="X22" s="9">
        <f t="shared" si="7"/>
        <v>17138.954970915282</v>
      </c>
      <c r="Y22" s="9">
        <f t="shared" si="7"/>
        <v>17481.734070333587</v>
      </c>
      <c r="Z22" s="9">
        <f t="shared" si="7"/>
        <v>17831.368751740258</v>
      </c>
      <c r="AA22" s="9">
        <f t="shared" si="7"/>
        <v>18187.996126775062</v>
      </c>
    </row>
    <row r="23" spans="2:27" x14ac:dyDescent="0.25">
      <c r="B23" s="10" t="s">
        <v>12</v>
      </c>
      <c r="C23" s="9">
        <v>0</v>
      </c>
      <c r="D23" s="9">
        <v>0</v>
      </c>
      <c r="E23" s="9">
        <v>0</v>
      </c>
      <c r="F23" s="9">
        <f t="shared" ref="F23:AA23" si="8">IF(F6-SUM(F11:F22)&gt;0,(F6-SUM(F11:F22))*19%,0)</f>
        <v>4.9013976473361254</v>
      </c>
      <c r="G23" s="9">
        <f t="shared" si="8"/>
        <v>565457.40759921353</v>
      </c>
      <c r="H23" s="9">
        <f t="shared" si="8"/>
        <v>1128967.9330727796</v>
      </c>
      <c r="I23" s="9">
        <f t="shared" si="8"/>
        <v>1692459.8633937873</v>
      </c>
      <c r="J23" s="9">
        <f t="shared" si="8"/>
        <v>2255932.8272671821</v>
      </c>
      <c r="K23" s="9">
        <f t="shared" si="8"/>
        <v>2819386.4444900132</v>
      </c>
      <c r="L23" s="9">
        <f t="shared" si="8"/>
        <v>2931129.9834315381</v>
      </c>
      <c r="M23" s="9">
        <f t="shared" si="8"/>
        <v>3042853.3956294567</v>
      </c>
      <c r="N23" s="9">
        <f t="shared" si="8"/>
        <v>3154556.2771048965</v>
      </c>
      <c r="O23" s="9">
        <f t="shared" si="8"/>
        <v>3266238.2181934086</v>
      </c>
      <c r="P23" s="9">
        <f t="shared" si="8"/>
        <v>4129565.0438388134</v>
      </c>
      <c r="Q23" s="9">
        <f t="shared" si="8"/>
        <v>4128341.4499343857</v>
      </c>
      <c r="R23" s="9">
        <f t="shared" si="8"/>
        <v>4127087.1979038692</v>
      </c>
      <c r="S23" s="9">
        <f t="shared" si="8"/>
        <v>4125801.3369927425</v>
      </c>
      <c r="T23" s="9">
        <f t="shared" si="8"/>
        <v>4124482.8738713935</v>
      </c>
      <c r="U23" s="9">
        <f t="shared" si="8"/>
        <v>4123130.7800676171</v>
      </c>
      <c r="V23" s="9">
        <f t="shared" si="8"/>
        <v>4121743.9822957651</v>
      </c>
      <c r="W23" s="9">
        <f t="shared" si="8"/>
        <v>4120321.3641824764</v>
      </c>
      <c r="X23" s="9">
        <f t="shared" si="8"/>
        <v>4118861.7679889216</v>
      </c>
      <c r="Y23" s="9">
        <f t="shared" si="8"/>
        <v>4117363.9811294959</v>
      </c>
      <c r="Z23" s="9">
        <f t="shared" si="8"/>
        <v>4115826.7473868821</v>
      </c>
      <c r="AA23" s="9">
        <f t="shared" si="8"/>
        <v>10068748.029517274</v>
      </c>
    </row>
    <row r="24" spans="2:27" x14ac:dyDescent="0.25">
      <c r="B24" s="5" t="s">
        <v>28</v>
      </c>
      <c r="C24" s="6">
        <f>C6-C8-C11-C12-C14-C15-C16-C17-C18-C19-C20-C21-C22-C23-C13+C11</f>
        <v>-13819932.798822023</v>
      </c>
      <c r="D24" s="6">
        <f t="shared" ref="D24:AA24" si="9">D6-D8-D11-D12-D14-D15-D16-D17-D18-D19-D20-D21-D22-D23-D13+D11</f>
        <v>-19415063.775504451</v>
      </c>
      <c r="E24" s="6">
        <f t="shared" si="9"/>
        <v>-3394369.2376341303</v>
      </c>
      <c r="F24" s="6">
        <f t="shared" si="9"/>
        <v>1746237.7619432127</v>
      </c>
      <c r="G24" s="6">
        <f t="shared" si="9"/>
        <v>4156851.0778551493</v>
      </c>
      <c r="H24" s="6">
        <f t="shared" si="9"/>
        <v>6559185.4232950937</v>
      </c>
      <c r="I24" s="6">
        <f t="shared" si="9"/>
        <v>8961440.4946635999</v>
      </c>
      <c r="J24" s="6">
        <f t="shared" si="9"/>
        <v>11363614.70907123</v>
      </c>
      <c r="K24" s="6">
        <f t="shared" si="9"/>
        <v>13765706.445652775</v>
      </c>
      <c r="L24" s="6">
        <f t="shared" si="9"/>
        <v>14242086.79587717</v>
      </c>
      <c r="M24" s="6">
        <f t="shared" si="9"/>
        <v>14718381.34261566</v>
      </c>
      <c r="N24" s="6">
        <f t="shared" si="9"/>
        <v>15194588.363642532</v>
      </c>
      <c r="O24" s="6">
        <f t="shared" si="9"/>
        <v>15670706.112493567</v>
      </c>
      <c r="P24" s="6">
        <f t="shared" si="9"/>
        <v>19351204.684981871</v>
      </c>
      <c r="Q24" s="6">
        <f t="shared" si="9"/>
        <v>19345988.310968257</v>
      </c>
      <c r="R24" s="6">
        <f t="shared" si="9"/>
        <v>19340641.236522369</v>
      </c>
      <c r="S24" s="6">
        <f t="shared" si="9"/>
        <v>19335159.408427559</v>
      </c>
      <c r="T24" s="6">
        <f t="shared" si="9"/>
        <v>19329538.59196287</v>
      </c>
      <c r="U24" s="6">
        <f t="shared" si="9"/>
        <v>19323774.402588867</v>
      </c>
      <c r="V24" s="6">
        <f t="shared" si="9"/>
        <v>19317862.264719404</v>
      </c>
      <c r="W24" s="6">
        <f t="shared" si="9"/>
        <v>19311797.419078533</v>
      </c>
      <c r="X24" s="6">
        <f t="shared" si="9"/>
        <v>19305574.930042859</v>
      </c>
      <c r="Y24" s="6">
        <f t="shared" si="9"/>
        <v>19299189.62816846</v>
      </c>
      <c r="Z24" s="6">
        <f t="shared" si="9"/>
        <v>19292636.158002578</v>
      </c>
      <c r="AA24" s="6">
        <f t="shared" si="9"/>
        <v>44670879.518663719</v>
      </c>
    </row>
    <row r="25" spans="2:27" x14ac:dyDescent="0.25">
      <c r="B25" s="5" t="s">
        <v>13</v>
      </c>
      <c r="C25" s="6">
        <f>(1+$C$32)^C28</f>
        <v>1.1499999999999999</v>
      </c>
      <c r="D25" s="6">
        <f t="shared" ref="D25:AA25" si="10">(1+$C$32)^D28</f>
        <v>1.3224999999999998</v>
      </c>
      <c r="E25" s="6">
        <f t="shared" si="10"/>
        <v>1.5208749999999995</v>
      </c>
      <c r="F25" s="6">
        <f t="shared" si="10"/>
        <v>1.7490062499999994</v>
      </c>
      <c r="G25" s="6">
        <f t="shared" si="10"/>
        <v>2.0113571874999994</v>
      </c>
      <c r="H25" s="6">
        <f t="shared" si="10"/>
        <v>2.3130607656249991</v>
      </c>
      <c r="I25" s="6">
        <f t="shared" si="10"/>
        <v>2.6600198804687483</v>
      </c>
      <c r="J25" s="6">
        <f t="shared" si="10"/>
        <v>3.0590228625390603</v>
      </c>
      <c r="K25" s="6">
        <f t="shared" si="10"/>
        <v>3.5178762919199191</v>
      </c>
      <c r="L25" s="6">
        <f t="shared" si="10"/>
        <v>4.0455577357079067</v>
      </c>
      <c r="M25" s="6">
        <f t="shared" si="10"/>
        <v>4.6523913960640924</v>
      </c>
      <c r="N25" s="6">
        <f t="shared" si="10"/>
        <v>5.3502501054737053</v>
      </c>
      <c r="O25" s="6">
        <f t="shared" si="10"/>
        <v>6.1527876212947614</v>
      </c>
      <c r="P25" s="6">
        <f t="shared" si="10"/>
        <v>7.0757057644889754</v>
      </c>
      <c r="Q25" s="6">
        <f t="shared" si="10"/>
        <v>8.1370616291623197</v>
      </c>
      <c r="R25" s="6">
        <f t="shared" si="10"/>
        <v>9.3576208735366659</v>
      </c>
      <c r="S25" s="6">
        <f t="shared" si="10"/>
        <v>10.761264004567165</v>
      </c>
      <c r="T25" s="6">
        <f t="shared" si="10"/>
        <v>12.375453605252238</v>
      </c>
      <c r="U25" s="6">
        <f t="shared" si="10"/>
        <v>14.231771646040073</v>
      </c>
      <c r="V25" s="6">
        <f t="shared" si="10"/>
        <v>16.366537392946082</v>
      </c>
      <c r="W25" s="6">
        <f t="shared" si="10"/>
        <v>18.821518001887995</v>
      </c>
      <c r="X25" s="6">
        <f t="shared" si="10"/>
        <v>21.644745702171193</v>
      </c>
      <c r="Y25" s="6">
        <f t="shared" si="10"/>
        <v>24.891457557496867</v>
      </c>
      <c r="Z25" s="6">
        <f t="shared" si="10"/>
        <v>28.625176191121394</v>
      </c>
      <c r="AA25" s="6">
        <f t="shared" si="10"/>
        <v>32.9189526197896</v>
      </c>
    </row>
    <row r="26" spans="2:27" x14ac:dyDescent="0.25">
      <c r="B26" s="5" t="s">
        <v>29</v>
      </c>
      <c r="C26" s="6">
        <f>C24/C25</f>
        <v>-12017332.868540891</v>
      </c>
      <c r="D26" s="6">
        <f t="shared" ref="D26:AA26" si="11">D24/D25</f>
        <v>-14680577.52401093</v>
      </c>
      <c r="E26" s="6">
        <f t="shared" si="11"/>
        <v>-2231852.8726122337</v>
      </c>
      <c r="F26" s="6">
        <f t="shared" si="11"/>
        <v>998417.10796814668</v>
      </c>
      <c r="G26" s="6">
        <f t="shared" si="11"/>
        <v>2066689.6480092006</v>
      </c>
      <c r="H26" s="6">
        <f t="shared" si="11"/>
        <v>2835716.8651912925</v>
      </c>
      <c r="I26" s="6">
        <f t="shared" si="11"/>
        <v>3368937.4130107691</v>
      </c>
      <c r="J26" s="6">
        <f t="shared" si="11"/>
        <v>3714785.8056997866</v>
      </c>
      <c r="K26" s="6">
        <f t="shared" si="11"/>
        <v>3913072.9176778393</v>
      </c>
      <c r="L26" s="6">
        <f t="shared" si="11"/>
        <v>3520426.0392010044</v>
      </c>
      <c r="M26" s="6">
        <f t="shared" si="11"/>
        <v>3163616.3189252224</v>
      </c>
      <c r="N26" s="6">
        <f t="shared" si="11"/>
        <v>2839977.2093079039</v>
      </c>
      <c r="O26" s="6">
        <f t="shared" si="11"/>
        <v>2546927.8442599489</v>
      </c>
      <c r="P26" s="6">
        <f t="shared" si="11"/>
        <v>2734879.7885435335</v>
      </c>
      <c r="Q26" s="6">
        <f t="shared" si="11"/>
        <v>2377515.2742649014</v>
      </c>
      <c r="R26" s="6">
        <f t="shared" si="11"/>
        <v>2066833.1724378432</v>
      </c>
      <c r="S26" s="6">
        <f t="shared" si="11"/>
        <v>1796736.8331658405</v>
      </c>
      <c r="T26" s="6">
        <f t="shared" si="11"/>
        <v>1561925.6641840802</v>
      </c>
      <c r="U26" s="6">
        <f t="shared" si="11"/>
        <v>1357791.2071098767</v>
      </c>
      <c r="V26" s="6">
        <f t="shared" si="11"/>
        <v>1180326.7729095423</v>
      </c>
      <c r="W26" s="6">
        <f t="shared" si="11"/>
        <v>1026048.8775210032</v>
      </c>
      <c r="X26" s="6">
        <f t="shared" si="11"/>
        <v>891928.93257721711</v>
      </c>
      <c r="Y26" s="6">
        <f t="shared" si="11"/>
        <v>775333.85032150859</v>
      </c>
      <c r="Z26" s="6">
        <f t="shared" si="11"/>
        <v>673974.40732562309</v>
      </c>
      <c r="AA26" s="6">
        <f t="shared" si="11"/>
        <v>1356995.7718463168</v>
      </c>
    </row>
    <row r="27" spans="2:27" x14ac:dyDescent="0.25">
      <c r="B27" s="5" t="s">
        <v>30</v>
      </c>
      <c r="C27" s="6">
        <f>C26</f>
        <v>-12017332.868540891</v>
      </c>
      <c r="D27" s="6">
        <f>C27+D26</f>
        <v>-26697910.392551821</v>
      </c>
      <c r="E27" s="6">
        <f>D27+E26</f>
        <v>-28929763.265164055</v>
      </c>
      <c r="F27" s="7">
        <f>E27+F26</f>
        <v>-27931346.157195907</v>
      </c>
      <c r="G27" s="7">
        <f>F27+G26</f>
        <v>-25864656.509186707</v>
      </c>
      <c r="H27" s="7">
        <f t="shared" ref="H27:AA27" si="12">G27+H26</f>
        <v>-23028939.643995415</v>
      </c>
      <c r="I27" s="7">
        <f t="shared" si="12"/>
        <v>-19660002.230984647</v>
      </c>
      <c r="J27" s="7">
        <f t="shared" si="12"/>
        <v>-15945216.425284861</v>
      </c>
      <c r="K27" s="7">
        <f t="shared" si="12"/>
        <v>-12032143.50760702</v>
      </c>
      <c r="L27" s="7">
        <f t="shared" si="12"/>
        <v>-8511717.468406016</v>
      </c>
      <c r="M27" s="7">
        <f t="shared" si="12"/>
        <v>-5348101.1494807936</v>
      </c>
      <c r="N27" s="7">
        <f t="shared" si="12"/>
        <v>-2508123.9401728897</v>
      </c>
      <c r="O27" s="7">
        <f t="shared" si="12"/>
        <v>38803.9040870592</v>
      </c>
      <c r="P27" s="7">
        <f t="shared" si="12"/>
        <v>2773683.6926305927</v>
      </c>
      <c r="Q27" s="7">
        <f t="shared" si="12"/>
        <v>5151198.9668954946</v>
      </c>
      <c r="R27" s="7">
        <f t="shared" si="12"/>
        <v>7218032.1393333375</v>
      </c>
      <c r="S27" s="7">
        <f t="shared" si="12"/>
        <v>9014768.9724991787</v>
      </c>
      <c r="T27" s="7">
        <f t="shared" si="12"/>
        <v>10576694.636683259</v>
      </c>
      <c r="U27" s="7">
        <f t="shared" si="12"/>
        <v>11934485.843793135</v>
      </c>
      <c r="V27" s="7">
        <f t="shared" si="12"/>
        <v>13114812.616702678</v>
      </c>
      <c r="W27" s="7">
        <f t="shared" si="12"/>
        <v>14140861.49422368</v>
      </c>
      <c r="X27" s="7">
        <f t="shared" si="12"/>
        <v>15032790.426800897</v>
      </c>
      <c r="Y27" s="7">
        <f t="shared" si="12"/>
        <v>15808124.277122406</v>
      </c>
      <c r="Z27" s="7">
        <f t="shared" si="12"/>
        <v>16482098.68444803</v>
      </c>
      <c r="AA27" s="7">
        <f t="shared" si="12"/>
        <v>17839094.456294347</v>
      </c>
    </row>
    <row r="28" spans="2:27" x14ac:dyDescent="0.25">
      <c r="B28" s="20" t="s">
        <v>19</v>
      </c>
      <c r="C28" s="21">
        <v>1</v>
      </c>
      <c r="D28" s="21">
        <f>C28+1</f>
        <v>2</v>
      </c>
      <c r="E28" s="21">
        <f t="shared" ref="E28:AA28" si="13">D28+1</f>
        <v>3</v>
      </c>
      <c r="F28" s="21">
        <f t="shared" si="13"/>
        <v>4</v>
      </c>
      <c r="G28" s="21">
        <f t="shared" si="13"/>
        <v>5</v>
      </c>
      <c r="H28" s="21">
        <f t="shared" si="13"/>
        <v>6</v>
      </c>
      <c r="I28" s="21">
        <f t="shared" si="13"/>
        <v>7</v>
      </c>
      <c r="J28" s="21">
        <f t="shared" si="13"/>
        <v>8</v>
      </c>
      <c r="K28" s="21">
        <f t="shared" si="13"/>
        <v>9</v>
      </c>
      <c r="L28" s="21">
        <f t="shared" si="13"/>
        <v>10</v>
      </c>
      <c r="M28" s="21">
        <f t="shared" si="13"/>
        <v>11</v>
      </c>
      <c r="N28" s="21">
        <f t="shared" si="13"/>
        <v>12</v>
      </c>
      <c r="O28" s="21">
        <f t="shared" si="13"/>
        <v>13</v>
      </c>
      <c r="P28" s="21">
        <f t="shared" si="13"/>
        <v>14</v>
      </c>
      <c r="Q28" s="21">
        <f t="shared" si="13"/>
        <v>15</v>
      </c>
      <c r="R28" s="21">
        <f t="shared" si="13"/>
        <v>16</v>
      </c>
      <c r="S28" s="21">
        <f t="shared" si="13"/>
        <v>17</v>
      </c>
      <c r="T28" s="21">
        <f t="shared" si="13"/>
        <v>18</v>
      </c>
      <c r="U28" s="21">
        <f t="shared" si="13"/>
        <v>19</v>
      </c>
      <c r="V28" s="21">
        <f t="shared" si="13"/>
        <v>20</v>
      </c>
      <c r="W28" s="21">
        <f t="shared" si="13"/>
        <v>21</v>
      </c>
      <c r="X28" s="21">
        <f t="shared" si="13"/>
        <v>22</v>
      </c>
      <c r="Y28" s="21">
        <f t="shared" si="13"/>
        <v>23</v>
      </c>
      <c r="Z28" s="21">
        <f t="shared" si="13"/>
        <v>24</v>
      </c>
      <c r="AA28" s="21">
        <f t="shared" si="13"/>
        <v>25</v>
      </c>
    </row>
    <row r="29" spans="2:27" ht="15" x14ac:dyDescent="0.25">
      <c r="B29" s="119"/>
      <c r="C29" s="119"/>
      <c r="D29" s="119"/>
      <c r="E29" s="119"/>
      <c r="F29" s="119"/>
      <c r="G29" s="119"/>
    </row>
    <row r="30" spans="2:27" ht="15.6" x14ac:dyDescent="0.3">
      <c r="B30" s="119"/>
      <c r="C30" s="119"/>
      <c r="D30" s="119"/>
      <c r="E30" s="120" t="s">
        <v>20</v>
      </c>
      <c r="F30" s="141">
        <f>-(C9+C10)+SUM(C26:AA26)</f>
        <v>14355050.347808145</v>
      </c>
      <c r="G30" s="119" t="s">
        <v>14</v>
      </c>
    </row>
    <row r="31" spans="2:27" ht="15" x14ac:dyDescent="0.25">
      <c r="B31" s="119"/>
      <c r="C31" s="119"/>
      <c r="D31" s="119"/>
      <c r="E31" s="119"/>
      <c r="F31" s="119"/>
      <c r="G31" s="119"/>
    </row>
    <row r="32" spans="2:27" ht="15.6" x14ac:dyDescent="0.3">
      <c r="B32" s="121" t="s">
        <v>61</v>
      </c>
      <c r="C32" s="122">
        <v>0.15</v>
      </c>
      <c r="D32" s="119"/>
      <c r="E32" s="119"/>
      <c r="F32" s="140">
        <f>-(C9+C10)+NPV(C32,C24:AA24)</f>
        <v>14355050.347808134</v>
      </c>
      <c r="G32" s="119" t="s">
        <v>14</v>
      </c>
    </row>
    <row r="33" spans="2:15" ht="15.6" x14ac:dyDescent="0.3">
      <c r="B33" s="24"/>
      <c r="C33" s="119"/>
      <c r="D33" s="119"/>
      <c r="E33" s="119"/>
      <c r="F33" s="123"/>
      <c r="G33" s="123"/>
      <c r="H33" s="3"/>
      <c r="I33" s="3"/>
      <c r="J33" s="3"/>
      <c r="K33" s="3"/>
      <c r="L33" s="3"/>
      <c r="M33" s="3"/>
      <c r="N33" s="4"/>
      <c r="O33" s="4"/>
    </row>
    <row r="34" spans="2:15" ht="15.6" x14ac:dyDescent="0.3">
      <c r="B34" s="124" t="s">
        <v>17</v>
      </c>
      <c r="C34" s="125" t="s">
        <v>35</v>
      </c>
      <c r="D34" s="119"/>
      <c r="E34" s="120" t="s">
        <v>21</v>
      </c>
      <c r="F34" s="126">
        <f>IRR(C24:AA24)</f>
        <v>0.20589128111678301</v>
      </c>
      <c r="G34" s="123"/>
      <c r="H34" s="3"/>
      <c r="I34" s="3"/>
      <c r="J34" s="3"/>
      <c r="K34" s="3"/>
      <c r="L34" s="3"/>
      <c r="M34" s="3"/>
      <c r="N34" s="4"/>
      <c r="O34" s="4"/>
    </row>
    <row r="35" spans="2:15" ht="15.6" x14ac:dyDescent="0.3">
      <c r="B35" s="121">
        <f>856+7321</f>
        <v>8177</v>
      </c>
      <c r="C35" s="127">
        <f>'Zależności wskaźników'!L6</f>
        <v>3478.9211251763663</v>
      </c>
      <c r="D35" s="119"/>
      <c r="E35" s="119"/>
      <c r="F35" s="119"/>
      <c r="G35" s="119"/>
    </row>
    <row r="36" spans="2:15" ht="15.6" x14ac:dyDescent="0.3">
      <c r="B36" s="124" t="s">
        <v>18</v>
      </c>
      <c r="C36" s="125" t="s">
        <v>124</v>
      </c>
      <c r="D36" s="119"/>
      <c r="E36" s="128"/>
      <c r="F36" s="123"/>
      <c r="G36" s="123"/>
      <c r="H36" s="3"/>
      <c r="I36" s="3"/>
      <c r="J36" s="3"/>
      <c r="K36" s="3"/>
      <c r="L36" s="3"/>
      <c r="M36" s="3"/>
      <c r="N36" s="3"/>
      <c r="O36" s="3"/>
    </row>
    <row r="37" spans="2:15" ht="15.6" x14ac:dyDescent="0.3">
      <c r="B37" s="129">
        <f>C37*B35</f>
        <v>69848674.660445482</v>
      </c>
      <c r="C37" s="127">
        <f>'Zależności wskaźników'!L3</f>
        <v>8542.090578506235</v>
      </c>
      <c r="D37" s="119"/>
      <c r="E37" s="119"/>
      <c r="F37" s="123"/>
      <c r="G37" s="123"/>
      <c r="H37" s="3"/>
      <c r="I37" s="3"/>
      <c r="J37" s="3"/>
      <c r="K37" s="3"/>
      <c r="L37" s="3"/>
      <c r="M37" s="3"/>
      <c r="N37" s="3"/>
      <c r="O37" s="3"/>
    </row>
    <row r="38" spans="2:15" ht="15.6" x14ac:dyDescent="0.3">
      <c r="B38" s="24"/>
      <c r="C38" s="119"/>
      <c r="D38" s="119"/>
      <c r="E38" s="119"/>
      <c r="F38" s="119"/>
      <c r="G38" s="119"/>
    </row>
    <row r="39" spans="2:15" ht="15.6" x14ac:dyDescent="0.3">
      <c r="B39" s="121" t="s">
        <v>122</v>
      </c>
      <c r="C39" s="119"/>
      <c r="D39" s="142" t="s">
        <v>100</v>
      </c>
      <c r="E39" s="24" t="s">
        <v>123</v>
      </c>
      <c r="F39" s="119"/>
      <c r="G39" s="119"/>
    </row>
    <row r="40" spans="2:15" ht="15.6" x14ac:dyDescent="0.3">
      <c r="B40" s="24" t="s">
        <v>66</v>
      </c>
      <c r="C40" s="119"/>
      <c r="D40" s="130"/>
      <c r="E40" s="24"/>
      <c r="F40" s="119"/>
      <c r="G40" s="119"/>
    </row>
    <row r="41" spans="2:15" ht="15.6" x14ac:dyDescent="0.3">
      <c r="B41" s="121" t="s">
        <v>68</v>
      </c>
      <c r="C41" s="131">
        <v>0.76</v>
      </c>
      <c r="D41" s="143">
        <f>C41*B49</f>
        <v>32944992.741938565</v>
      </c>
      <c r="E41" s="24" t="s">
        <v>63</v>
      </c>
      <c r="F41" s="119"/>
      <c r="G41" s="119"/>
    </row>
    <row r="42" spans="2:15" ht="15.6" x14ac:dyDescent="0.3">
      <c r="B42" s="121" t="s">
        <v>67</v>
      </c>
      <c r="C42" s="131">
        <v>0.24</v>
      </c>
      <c r="D42" s="143">
        <f>C42*B49</f>
        <v>10403681.918506915</v>
      </c>
      <c r="E42" s="24" t="s">
        <v>64</v>
      </c>
      <c r="F42" s="119"/>
      <c r="G42" s="119"/>
    </row>
    <row r="43" spans="2:15" ht="15.6" x14ac:dyDescent="0.3">
      <c r="B43" s="132"/>
      <c r="C43" s="133"/>
      <c r="D43" s="133"/>
      <c r="E43" s="119"/>
      <c r="F43" s="119"/>
      <c r="G43" s="119"/>
    </row>
    <row r="44" spans="2:15" ht="15.6" x14ac:dyDescent="0.3">
      <c r="B44" s="134" t="s">
        <v>18</v>
      </c>
      <c r="C44" s="119"/>
      <c r="D44" s="119"/>
      <c r="E44" s="119"/>
      <c r="F44" s="119"/>
      <c r="G44" s="119"/>
    </row>
    <row r="45" spans="2:15" ht="15.6" x14ac:dyDescent="0.3">
      <c r="B45" s="135">
        <f>B37</f>
        <v>69848674.660445482</v>
      </c>
      <c r="C45" s="119"/>
      <c r="D45" s="119"/>
      <c r="E45" s="119"/>
      <c r="F45" s="119"/>
      <c r="G45" s="119"/>
    </row>
    <row r="46" spans="2:15" ht="15.6" x14ac:dyDescent="0.3">
      <c r="B46" s="136" t="s">
        <v>70</v>
      </c>
      <c r="C46" s="119"/>
      <c r="D46" s="119"/>
      <c r="E46" s="119"/>
      <c r="F46" s="119"/>
      <c r="G46" s="119"/>
    </row>
    <row r="47" spans="2:15" ht="15.6" x14ac:dyDescent="0.3">
      <c r="B47" s="137">
        <f>C8</f>
        <v>26500000</v>
      </c>
      <c r="C47" s="119"/>
      <c r="D47" s="119"/>
      <c r="E47" s="119"/>
      <c r="F47" s="119"/>
      <c r="G47" s="119"/>
    </row>
    <row r="48" spans="2:15" ht="15.6" x14ac:dyDescent="0.3">
      <c r="B48" s="138" t="s">
        <v>71</v>
      </c>
      <c r="C48" s="119"/>
      <c r="D48" s="119"/>
      <c r="E48" s="119"/>
      <c r="F48" s="119"/>
      <c r="G48" s="119"/>
    </row>
    <row r="49" spans="2:7" ht="15.6" x14ac:dyDescent="0.3">
      <c r="B49" s="139">
        <f>B45-B47</f>
        <v>43348674.660445482</v>
      </c>
      <c r="C49" s="119"/>
      <c r="D49" s="119"/>
      <c r="E49" s="119"/>
      <c r="F49" s="119"/>
      <c r="G49" s="119"/>
    </row>
    <row r="50" spans="2:7" ht="15" x14ac:dyDescent="0.25">
      <c r="B50" s="119"/>
      <c r="C50" s="119"/>
      <c r="D50" s="119"/>
      <c r="E50" s="119"/>
      <c r="F50" s="119"/>
      <c r="G50" s="119"/>
    </row>
    <row r="51" spans="2:7" ht="15" x14ac:dyDescent="0.25">
      <c r="B51" s="119"/>
      <c r="C51" s="119"/>
      <c r="D51" s="119"/>
      <c r="E51" s="119"/>
      <c r="F51" s="119"/>
      <c r="G51" s="119"/>
    </row>
    <row r="52" spans="2:7" x14ac:dyDescent="0.25">
      <c r="B52" s="170" t="s">
        <v>62</v>
      </c>
      <c r="C52" s="170"/>
      <c r="D52" s="170"/>
      <c r="E52" s="171" t="s">
        <v>69</v>
      </c>
    </row>
    <row r="53" spans="2:7" x14ac:dyDescent="0.25">
      <c r="B53" s="31" t="s">
        <v>65</v>
      </c>
      <c r="C53" s="31" t="s">
        <v>63</v>
      </c>
      <c r="D53" s="31" t="s">
        <v>64</v>
      </c>
      <c r="E53" s="172"/>
    </row>
    <row r="54" spans="2:7" x14ac:dyDescent="0.25">
      <c r="B54" s="32">
        <f>C8/B37</f>
        <v>0.37939159373923886</v>
      </c>
      <c r="C54" s="32">
        <f>D8/B37</f>
        <v>0.47166238875817845</v>
      </c>
      <c r="D54" s="32">
        <f>E8/B37</f>
        <v>0.14894601750258266</v>
      </c>
      <c r="E54" s="32">
        <f>B54+C54+D54</f>
        <v>0.99999999999999989</v>
      </c>
    </row>
  </sheetData>
  <mergeCells count="5">
    <mergeCell ref="C4:C5"/>
    <mergeCell ref="D4:D5"/>
    <mergeCell ref="E4:E5"/>
    <mergeCell ref="B52:D52"/>
    <mergeCell ref="E52:E53"/>
  </mergeCells>
  <phoneticPr fontId="0" type="noConversion"/>
  <pageMargins left="0.75" right="0.75" top="1" bottom="1" header="0.5" footer="0.5"/>
  <pageSetup paperSize="9"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2034-5BF6-41CE-A1E4-95ADFEC16FD0}">
  <dimension ref="D2:I7"/>
  <sheetViews>
    <sheetView topLeftCell="E1" workbookViewId="0">
      <selection activeCell="K16" sqref="K16"/>
    </sheetView>
  </sheetViews>
  <sheetFormatPr defaultRowHeight="13.2" x14ac:dyDescent="0.25"/>
  <cols>
    <col min="1" max="4" width="0" hidden="1" customWidth="1"/>
    <col min="6" max="6" width="16.88671875" bestFit="1" customWidth="1"/>
    <col min="7" max="7" width="16" bestFit="1" customWidth="1"/>
    <col min="9" max="9" width="6" bestFit="1" customWidth="1"/>
  </cols>
  <sheetData>
    <row r="2" spans="4:9" x14ac:dyDescent="0.25">
      <c r="H2" t="s">
        <v>125</v>
      </c>
      <c r="I2" t="s">
        <v>126</v>
      </c>
    </row>
    <row r="3" spans="4:9" ht="14.4" x14ac:dyDescent="0.3">
      <c r="D3" s="176"/>
      <c r="E3" s="176"/>
      <c r="F3" s="144" t="s">
        <v>129</v>
      </c>
      <c r="G3" s="173">
        <v>8542.090578506235</v>
      </c>
      <c r="H3">
        <f>+'Zależności wskaźników'!M3</f>
        <v>7000</v>
      </c>
      <c r="I3">
        <f>+'Zależności wskaźników'!S3</f>
        <v>13000</v>
      </c>
    </row>
    <row r="4" spans="4:9" ht="14.4" x14ac:dyDescent="0.3">
      <c r="F4" s="144" t="s">
        <v>130</v>
      </c>
      <c r="G4" s="38">
        <v>0.43361299883782567</v>
      </c>
      <c r="H4">
        <v>0.3</v>
      </c>
      <c r="I4">
        <v>0.7</v>
      </c>
    </row>
    <row r="5" spans="4:9" ht="14.4" x14ac:dyDescent="0.3">
      <c r="F5" s="144" t="s">
        <v>127</v>
      </c>
      <c r="G5" s="174">
        <f>+'Przepływy i NPV'!F30</f>
        <v>14355050.347808145</v>
      </c>
    </row>
    <row r="6" spans="4:9" ht="14.4" x14ac:dyDescent="0.3">
      <c r="F6" s="144" t="s">
        <v>128</v>
      </c>
      <c r="G6" s="175">
        <f>+'Przepływy i NPV'!F34</f>
        <v>0.20589128111678301</v>
      </c>
    </row>
    <row r="7" spans="4:9" ht="14.4" x14ac:dyDescent="0.3">
      <c r="F7" s="14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7"/>
  <dimension ref="A1:D10001"/>
  <sheetViews>
    <sheetView workbookViewId="0"/>
  </sheetViews>
  <sheetFormatPr defaultRowHeight="13.2" x14ac:dyDescent="0.25"/>
  <cols>
    <col min="1" max="4" width="36.6640625" customWidth="1"/>
  </cols>
  <sheetData>
    <row r="1" spans="1:4" x14ac:dyDescent="0.25">
      <c r="A1" s="27" t="s">
        <v>36</v>
      </c>
    </row>
    <row r="3" spans="1:4" x14ac:dyDescent="0.25">
      <c r="A3" t="s">
        <v>37</v>
      </c>
      <c r="B3" t="s">
        <v>38</v>
      </c>
      <c r="C3">
        <v>0</v>
      </c>
    </row>
    <row r="4" spans="1:4" x14ac:dyDescent="0.25">
      <c r="A4" t="s">
        <v>39</v>
      </c>
    </row>
    <row r="5" spans="1:4" x14ac:dyDescent="0.25">
      <c r="A5" t="s">
        <v>40</v>
      </c>
    </row>
    <row r="7" spans="1:4" x14ac:dyDescent="0.25">
      <c r="A7" s="27" t="s">
        <v>41</v>
      </c>
      <c r="B7" t="s">
        <v>42</v>
      </c>
    </row>
    <row r="8" spans="1:4" x14ac:dyDescent="0.25">
      <c r="B8">
        <v>4</v>
      </c>
    </row>
    <row r="10" spans="1:4" x14ac:dyDescent="0.25">
      <c r="A10" t="s">
        <v>43</v>
      </c>
    </row>
    <row r="11" spans="1:4" x14ac:dyDescent="0.25">
      <c r="A11" t="e">
        <f>CB_DATA_!#REF!</f>
        <v>#REF!</v>
      </c>
      <c r="B11" t="e">
        <f>'Zależności wskaźników'!#REF!</f>
        <v>#REF!</v>
      </c>
      <c r="C11" t="e">
        <f>'Przepływy i NPV'!#REF!</f>
        <v>#REF!</v>
      </c>
      <c r="D11" t="e">
        <f>Finansowanie!#REF!</f>
        <v>#REF!</v>
      </c>
    </row>
    <row r="13" spans="1:4" x14ac:dyDescent="0.25">
      <c r="A13" t="s">
        <v>44</v>
      </c>
    </row>
    <row r="14" spans="1:4" x14ac:dyDescent="0.25">
      <c r="A14" t="s">
        <v>48</v>
      </c>
      <c r="B14" t="s">
        <v>52</v>
      </c>
      <c r="C14" t="s">
        <v>55</v>
      </c>
      <c r="D14" t="s">
        <v>56</v>
      </c>
    </row>
    <row r="16" spans="1:4" x14ac:dyDescent="0.25">
      <c r="A16" t="s">
        <v>45</v>
      </c>
    </row>
    <row r="19" spans="1:4" x14ac:dyDescent="0.25">
      <c r="A19" t="s">
        <v>46</v>
      </c>
    </row>
    <row r="20" spans="1:4" x14ac:dyDescent="0.25">
      <c r="A20">
        <v>31</v>
      </c>
      <c r="B20">
        <v>31</v>
      </c>
      <c r="C20">
        <v>31</v>
      </c>
      <c r="D20">
        <v>31</v>
      </c>
    </row>
    <row r="25" spans="1:4" x14ac:dyDescent="0.25">
      <c r="A25" s="27" t="s">
        <v>47</v>
      </c>
    </row>
    <row r="26" spans="1:4" x14ac:dyDescent="0.25">
      <c r="A26" s="28" t="s">
        <v>49</v>
      </c>
      <c r="B26" s="28" t="s">
        <v>53</v>
      </c>
      <c r="C26" s="28" t="s">
        <v>53</v>
      </c>
      <c r="D26" s="28" t="s">
        <v>53</v>
      </c>
    </row>
    <row r="27" spans="1:4" x14ac:dyDescent="0.25">
      <c r="A27" t="s">
        <v>50</v>
      </c>
      <c r="B27" t="s">
        <v>117</v>
      </c>
      <c r="C27" t="s">
        <v>119</v>
      </c>
      <c r="D27" t="s">
        <v>118</v>
      </c>
    </row>
    <row r="28" spans="1:4" x14ac:dyDescent="0.25">
      <c r="A28" s="28" t="s">
        <v>51</v>
      </c>
      <c r="B28" s="28" t="s">
        <v>51</v>
      </c>
      <c r="C28" s="28" t="s">
        <v>51</v>
      </c>
      <c r="D28" s="28" t="s">
        <v>51</v>
      </c>
    </row>
    <row r="29" spans="1:4" x14ac:dyDescent="0.25">
      <c r="A29" s="28" t="s">
        <v>59</v>
      </c>
      <c r="B29" s="28" t="s">
        <v>49</v>
      </c>
      <c r="C29" s="28" t="s">
        <v>49</v>
      </c>
      <c r="D29" s="28" t="s">
        <v>49</v>
      </c>
    </row>
    <row r="30" spans="1:4" x14ac:dyDescent="0.25">
      <c r="A30" t="s">
        <v>121</v>
      </c>
      <c r="B30" t="s">
        <v>54</v>
      </c>
      <c r="C30" t="s">
        <v>57</v>
      </c>
      <c r="D30" t="s">
        <v>73</v>
      </c>
    </row>
    <row r="31" spans="1:4" x14ac:dyDescent="0.25">
      <c r="A31" s="28" t="s">
        <v>60</v>
      </c>
      <c r="B31" s="28" t="s">
        <v>51</v>
      </c>
      <c r="C31" s="28" t="s">
        <v>51</v>
      </c>
      <c r="D31" s="28" t="s">
        <v>51</v>
      </c>
    </row>
    <row r="10000" spans="1:1" x14ac:dyDescent="0.25">
      <c r="A10000" t="s">
        <v>58</v>
      </c>
    </row>
    <row r="10001" spans="1:1" x14ac:dyDescent="0.25">
      <c r="A10001" t="str">
        <f>"{0.FINALVALUE}"</f>
        <v>{0.FINALVALUE}</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Budynek</vt:lpstr>
      <vt:lpstr>Zmienne decyzyjne</vt:lpstr>
      <vt:lpstr>Zależności wskaźników</vt:lpstr>
      <vt:lpstr>Osiąganie zdolności użytkowej</vt:lpstr>
      <vt:lpstr>Regresja </vt:lpstr>
      <vt:lpstr>Finansowanie</vt:lpstr>
      <vt:lpstr>Przepływy i NPV</vt:lpstr>
      <vt:lpstr>Solver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dc:creator>
  <cp:lastModifiedBy>Rosłon Jerzy</cp:lastModifiedBy>
  <dcterms:created xsi:type="dcterms:W3CDTF">1997-02-26T13:46:56Z</dcterms:created>
  <dcterms:modified xsi:type="dcterms:W3CDTF">2023-11-19T18:07:12Z</dcterms:modified>
</cp:coreProperties>
</file>